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Users\Dorita\OneDrive\Documentos\CAPITAL MARKET\Año 2024\SIV\"/>
    </mc:Choice>
  </mc:AlternateContent>
  <xr:revisionPtr revIDLastSave="0" documentId="13_ncr:1_{7A1FF6EE-A8E3-4493-8D5E-14D104868C3B}" xr6:coauthVersionLast="47" xr6:coauthVersionMax="47" xr10:uidLastSave="{00000000-0000-0000-0000-000000000000}"/>
  <bookViews>
    <workbookView xWindow="-120" yWindow="-120" windowWidth="29040" windowHeight="15720" tabRatio="888" firstSheet="1" activeTab="1" xr2:uid="{00000000-000D-0000-FFFF-FFFF00000000}"/>
  </bookViews>
  <sheets>
    <sheet name="CARATULA " sheetId="16" r:id="rId1"/>
    <sheet name="Información General" sheetId="1" r:id="rId2"/>
    <sheet name="Balance General" sheetId="3" r:id="rId3"/>
    <sheet name="Estado de Resultados" sheetId="4" r:id="rId4"/>
    <sheet name="Variación PN" sheetId="15" r:id="rId5"/>
    <sheet name="Flujo de Efectivo" sheetId="5" r:id="rId6"/>
    <sheet name="Notas a los EEFF" sheetId="7" r:id="rId7"/>
    <sheet name="Anexo 5a-5c" sheetId="8" r:id="rId8"/>
    <sheet name="Anexo 5d-5h" sheetId="9" r:id="rId9"/>
    <sheet name="Anexo 5i-5m" sheetId="10" r:id="rId10"/>
    <sheet name="Anexo 5n-5r" sheetId="11" r:id="rId11"/>
    <sheet name="Anexo 5s-5w" sheetId="12" r:id="rId12"/>
    <sheet name="Anexo 5x-5z" sheetId="13" r:id="rId13"/>
    <sheet name="Notas 6-11" sheetId="14" r:id="rId14"/>
  </sheets>
  <definedNames>
    <definedName name="_Hlk47006462" localSheetId="2">'Balance General'!#REF!</definedName>
    <definedName name="_Hlk47083218" localSheetId="13">'Notas 6-11'!$C$10</definedName>
    <definedName name="_xlnm.Print_Area" localSheetId="6">'Notas a los EEFF'!$A$1:$B$41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5" l="1"/>
  <c r="C24" i="5"/>
  <c r="D8" i="10" l="1"/>
  <c r="D40" i="5" l="1"/>
  <c r="C40" i="5"/>
  <c r="G64" i="3" l="1"/>
  <c r="D109" i="9"/>
  <c r="D112" i="9" s="1"/>
  <c r="L122" i="9"/>
  <c r="F64" i="3"/>
  <c r="G62" i="3"/>
  <c r="D62" i="3"/>
  <c r="F70" i="11"/>
  <c r="H31" i="8"/>
  <c r="H28" i="8"/>
  <c r="I28" i="8" s="1"/>
  <c r="E28" i="8"/>
  <c r="F28" i="8" s="1"/>
  <c r="H27" i="8"/>
  <c r="I27" i="8" s="1"/>
  <c r="E27" i="8"/>
  <c r="F27" i="8" s="1"/>
  <c r="H23" i="8"/>
  <c r="I23" i="8" s="1"/>
  <c r="H187" i="1" l="1"/>
  <c r="K187" i="1" s="1"/>
  <c r="H186" i="1"/>
  <c r="K186" i="1" s="1"/>
  <c r="H185" i="1"/>
  <c r="K185" i="1" s="1"/>
  <c r="H184" i="1"/>
  <c r="K184" i="1" s="1"/>
  <c r="H183" i="1"/>
  <c r="K183" i="1" s="1"/>
  <c r="H182" i="1"/>
  <c r="K182" i="1" s="1"/>
  <c r="H181" i="1"/>
  <c r="K181" i="1" s="1"/>
  <c r="H180" i="1"/>
  <c r="K180" i="1" s="1"/>
  <c r="K179" i="1"/>
  <c r="H179" i="1"/>
  <c r="H188" i="1" l="1"/>
  <c r="C192" i="1" s="1"/>
  <c r="K188" i="1"/>
  <c r="L184" i="1" s="1"/>
  <c r="L186" i="1" l="1"/>
  <c r="L181" i="1"/>
  <c r="L180" i="1"/>
  <c r="L185" i="1"/>
  <c r="L182" i="1"/>
  <c r="L183" i="1"/>
  <c r="L187" i="1"/>
  <c r="L174" i="1"/>
  <c r="L166" i="1"/>
  <c r="L158" i="1"/>
  <c r="L150" i="1"/>
  <c r="L142" i="1"/>
  <c r="L134" i="1"/>
  <c r="L126" i="1"/>
  <c r="L118" i="1"/>
  <c r="L110" i="1"/>
  <c r="L102" i="1"/>
  <c r="L94" i="1"/>
  <c r="L86" i="1"/>
  <c r="L78" i="1"/>
  <c r="L70" i="1"/>
  <c r="L62" i="1"/>
  <c r="L167" i="1"/>
  <c r="L119" i="1"/>
  <c r="L95" i="1"/>
  <c r="L63" i="1"/>
  <c r="L173" i="1"/>
  <c r="L165" i="1"/>
  <c r="L157" i="1"/>
  <c r="L149" i="1"/>
  <c r="L141" i="1"/>
  <c r="L133" i="1"/>
  <c r="L125" i="1"/>
  <c r="L117" i="1"/>
  <c r="L109" i="1"/>
  <c r="L101" i="1"/>
  <c r="L93" i="1"/>
  <c r="L85" i="1"/>
  <c r="L77" i="1"/>
  <c r="L69" i="1"/>
  <c r="L61" i="1"/>
  <c r="L75" i="1"/>
  <c r="L120" i="1"/>
  <c r="L96" i="1"/>
  <c r="L72" i="1"/>
  <c r="L103" i="1"/>
  <c r="L172" i="1"/>
  <c r="L164" i="1"/>
  <c r="L156" i="1"/>
  <c r="L148" i="1"/>
  <c r="L140" i="1"/>
  <c r="L132" i="1"/>
  <c r="L124" i="1"/>
  <c r="L116" i="1"/>
  <c r="L108" i="1"/>
  <c r="L100" i="1"/>
  <c r="L92" i="1"/>
  <c r="L84" i="1"/>
  <c r="L76" i="1"/>
  <c r="L68" i="1"/>
  <c r="L60" i="1"/>
  <c r="L107" i="1"/>
  <c r="L127" i="1"/>
  <c r="L87" i="1"/>
  <c r="L171" i="1"/>
  <c r="L163" i="1"/>
  <c r="L155" i="1"/>
  <c r="L147" i="1"/>
  <c r="L139" i="1"/>
  <c r="L131" i="1"/>
  <c r="L123" i="1"/>
  <c r="L115" i="1"/>
  <c r="L99" i="1"/>
  <c r="L91" i="1"/>
  <c r="L83" i="1"/>
  <c r="L67" i="1"/>
  <c r="L178" i="1"/>
  <c r="L170" i="1"/>
  <c r="L162" i="1"/>
  <c r="L154" i="1"/>
  <c r="L146" i="1"/>
  <c r="L138" i="1"/>
  <c r="L130" i="1"/>
  <c r="L122" i="1"/>
  <c r="L114" i="1"/>
  <c r="L106" i="1"/>
  <c r="L98" i="1"/>
  <c r="L90" i="1"/>
  <c r="L82" i="1"/>
  <c r="L74" i="1"/>
  <c r="L66" i="1"/>
  <c r="L65" i="1"/>
  <c r="L168" i="1"/>
  <c r="L160" i="1"/>
  <c r="L152" i="1"/>
  <c r="L144" i="1"/>
  <c r="L128" i="1"/>
  <c r="L104" i="1"/>
  <c r="L80" i="1"/>
  <c r="L143" i="1"/>
  <c r="L71" i="1"/>
  <c r="L177" i="1"/>
  <c r="L169" i="1"/>
  <c r="L161" i="1"/>
  <c r="L153" i="1"/>
  <c r="L145" i="1"/>
  <c r="L137" i="1"/>
  <c r="L129" i="1"/>
  <c r="L121" i="1"/>
  <c r="L113" i="1"/>
  <c r="L105" i="1"/>
  <c r="L97" i="1"/>
  <c r="L89" i="1"/>
  <c r="L81" i="1"/>
  <c r="L73" i="1"/>
  <c r="L176" i="1"/>
  <c r="L136" i="1"/>
  <c r="L112" i="1"/>
  <c r="L88" i="1"/>
  <c r="L64" i="1"/>
  <c r="L175" i="1"/>
  <c r="L159" i="1"/>
  <c r="L151" i="1"/>
  <c r="L135" i="1"/>
  <c r="L111" i="1"/>
  <c r="L79" i="1"/>
  <c r="L179" i="1"/>
  <c r="D192" i="1"/>
  <c r="C193" i="1"/>
  <c r="D191" i="1" s="1"/>
  <c r="L188" i="1" l="1"/>
  <c r="C25" i="5"/>
  <c r="F47" i="3" l="1"/>
  <c r="F51" i="3"/>
  <c r="F55" i="3" l="1"/>
  <c r="C43" i="4"/>
  <c r="C27" i="12" l="1"/>
  <c r="E60" i="11" l="1"/>
  <c r="C62" i="3" l="1"/>
  <c r="D15" i="12" l="1"/>
  <c r="F78" i="11"/>
  <c r="F60" i="11"/>
  <c r="D35" i="3"/>
  <c r="C35" i="3"/>
  <c r="D25" i="9"/>
  <c r="E18" i="12" l="1"/>
  <c r="E19" i="12" s="1"/>
  <c r="C18" i="12"/>
  <c r="D17" i="12"/>
  <c r="D14" i="12"/>
  <c r="D13" i="12"/>
  <c r="D12" i="12"/>
  <c r="E13" i="15"/>
  <c r="C17" i="12"/>
  <c r="C15" i="12"/>
  <c r="C14" i="12"/>
  <c r="C13" i="12"/>
  <c r="C12" i="12"/>
  <c r="E70" i="11"/>
  <c r="D55" i="1"/>
  <c r="D56" i="1" s="1"/>
  <c r="C40" i="4" l="1"/>
  <c r="E31" i="8"/>
  <c r="E23" i="8"/>
  <c r="F23" i="8" s="1"/>
  <c r="C34" i="5" l="1"/>
  <c r="C30" i="5"/>
  <c r="C28" i="5"/>
  <c r="C21" i="5"/>
  <c r="E9" i="10" l="1"/>
  <c r="D9" i="10"/>
  <c r="C9" i="10"/>
  <c r="D64" i="12"/>
  <c r="D29" i="12"/>
  <c r="E38" i="8"/>
  <c r="E37" i="8"/>
  <c r="I11" i="15" l="1"/>
  <c r="D11" i="15"/>
  <c r="D13" i="15"/>
  <c r="C64" i="12"/>
  <c r="I31" i="8"/>
  <c r="D39" i="5" l="1"/>
  <c r="D104" i="12" l="1"/>
  <c r="F18" i="12" l="1"/>
  <c r="F17" i="12"/>
  <c r="F15" i="12"/>
  <c r="F14" i="12"/>
  <c r="F13" i="12"/>
  <c r="F12" i="12"/>
  <c r="D44" i="10"/>
  <c r="H125" i="9"/>
  <c r="C125" i="9"/>
  <c r="G122" i="9"/>
  <c r="G123" i="9"/>
  <c r="E78" i="11" l="1"/>
  <c r="C112" i="9" l="1"/>
  <c r="C20" i="3" l="1"/>
  <c r="D20" i="3"/>
  <c r="F125" i="9"/>
  <c r="D125" i="9"/>
  <c r="G51" i="3"/>
  <c r="G47" i="3"/>
  <c r="C16" i="12" s="1"/>
  <c r="D16" i="12" l="1"/>
  <c r="D19" i="12" s="1"/>
  <c r="C19" i="12"/>
  <c r="G55" i="3"/>
  <c r="C20" i="4"/>
  <c r="F16" i="12" l="1"/>
  <c r="F19" i="12" s="1"/>
  <c r="L123" i="9"/>
  <c r="D32" i="11" l="1"/>
  <c r="G26" i="3" s="1"/>
  <c r="C32" i="11"/>
  <c r="F26" i="3" s="1"/>
  <c r="D20" i="4" l="1"/>
  <c r="H17" i="15"/>
  <c r="M17" i="15" s="1"/>
  <c r="H11" i="15"/>
  <c r="H20" i="15" s="1"/>
  <c r="K16" i="15"/>
  <c r="M16" i="15" s="1"/>
  <c r="E11" i="15"/>
  <c r="D44" i="11"/>
  <c r="G27" i="3" s="1"/>
  <c r="F62" i="3"/>
  <c r="C10" i="11"/>
  <c r="F35" i="3" s="1"/>
  <c r="D10" i="11"/>
  <c r="G35" i="3" s="1"/>
  <c r="D18" i="11"/>
  <c r="G14" i="3" s="1"/>
  <c r="C18" i="11"/>
  <c r="F14" i="3" s="1"/>
  <c r="C44" i="11" l="1"/>
  <c r="F27" i="3" s="1"/>
  <c r="C12" i="5" s="1"/>
  <c r="D36" i="10" l="1"/>
  <c r="D47" i="3" s="1"/>
  <c r="C36" i="10"/>
  <c r="C47" i="3" s="1"/>
  <c r="F8" i="10"/>
  <c r="K125" i="9"/>
  <c r="I125" i="9"/>
  <c r="D44" i="3" l="1"/>
  <c r="F9" i="10"/>
  <c r="C44" i="3" s="1"/>
  <c r="D40" i="3"/>
  <c r="J124" i="9"/>
  <c r="J125" i="9" s="1"/>
  <c r="E124" i="9"/>
  <c r="D53" i="9"/>
  <c r="D21" i="3" s="1"/>
  <c r="D41" i="3" l="1"/>
  <c r="E125" i="9"/>
  <c r="G124" i="9"/>
  <c r="G125" i="9" s="1"/>
  <c r="H29" i="8" l="1"/>
  <c r="I29" i="8" s="1"/>
  <c r="H26" i="8"/>
  <c r="I26" i="8" s="1"/>
  <c r="H25" i="8"/>
  <c r="I25" i="8" s="1"/>
  <c r="H24" i="8"/>
  <c r="I24" i="8" s="1"/>
  <c r="H22" i="8"/>
  <c r="I22" i="8" s="1"/>
  <c r="C38" i="8"/>
  <c r="D7" i="12" l="1"/>
  <c r="C7" i="12"/>
  <c r="C29" i="12"/>
  <c r="F25" i="3" l="1"/>
  <c r="F31" i="8"/>
  <c r="E29" i="8"/>
  <c r="F29" i="8" s="1"/>
  <c r="E26" i="8"/>
  <c r="E25" i="8"/>
  <c r="F25" i="8" s="1"/>
  <c r="E24" i="8"/>
  <c r="F24" i="8" s="1"/>
  <c r="E22" i="8"/>
  <c r="F22" i="8" s="1"/>
  <c r="C97" i="10"/>
  <c r="C37" i="8"/>
  <c r="C25" i="9"/>
  <c r="F13" i="15"/>
  <c r="F11" i="15"/>
  <c r="D135" i="9"/>
  <c r="C135" i="9"/>
  <c r="I14" i="15"/>
  <c r="I19" i="15" s="1"/>
  <c r="C59" i="10"/>
  <c r="F33" i="3" s="1"/>
  <c r="F32" i="3" s="1"/>
  <c r="F37" i="3" s="1"/>
  <c r="D59" i="10"/>
  <c r="G32" i="3" s="1"/>
  <c r="G37" i="3" s="1"/>
  <c r="D13" i="3"/>
  <c r="D42" i="12"/>
  <c r="C74" i="12"/>
  <c r="C25" i="4" s="1"/>
  <c r="C22" i="4" s="1"/>
  <c r="D74" i="12"/>
  <c r="C42" i="12"/>
  <c r="K11" i="15"/>
  <c r="K20" i="15" s="1"/>
  <c r="L18" i="15"/>
  <c r="M18" i="15" s="1"/>
  <c r="G14" i="15"/>
  <c r="L11" i="15"/>
  <c r="K15" i="15" s="1"/>
  <c r="J11" i="15"/>
  <c r="J19" i="15" s="1"/>
  <c r="G11" i="15"/>
  <c r="D97" i="10"/>
  <c r="G13" i="3" s="1"/>
  <c r="C53" i="9"/>
  <c r="C21" i="3" s="1"/>
  <c r="D29" i="10"/>
  <c r="D25" i="3" s="1"/>
  <c r="D60" i="9"/>
  <c r="D22" i="3" s="1"/>
  <c r="C19" i="15"/>
  <c r="D32" i="5"/>
  <c r="E20" i="15"/>
  <c r="E19" i="15"/>
  <c r="C20" i="15"/>
  <c r="M20" i="15"/>
  <c r="D20" i="15"/>
  <c r="F20" i="3"/>
  <c r="D32" i="4"/>
  <c r="D26" i="4" s="1"/>
  <c r="C104" i="12"/>
  <c r="C32" i="4" s="1"/>
  <c r="C26" i="4" s="1"/>
  <c r="D55" i="12"/>
  <c r="D19" i="4" s="1"/>
  <c r="D17" i="4" s="1"/>
  <c r="C55" i="12"/>
  <c r="C19" i="4" s="1"/>
  <c r="C17" i="4" s="1"/>
  <c r="M122" i="9"/>
  <c r="F36" i="9"/>
  <c r="C14" i="13"/>
  <c r="C35" i="4" s="1"/>
  <c r="M123" i="9"/>
  <c r="C32" i="3"/>
  <c r="C15" i="3"/>
  <c r="C29" i="10"/>
  <c r="L124" i="9"/>
  <c r="C60" i="9"/>
  <c r="C22" i="3" s="1"/>
  <c r="D37" i="13"/>
  <c r="D42" i="4" s="1"/>
  <c r="C37" i="13"/>
  <c r="C42" i="4" s="1"/>
  <c r="C37" i="5" s="1"/>
  <c r="C39" i="5" s="1"/>
  <c r="C30" i="13"/>
  <c r="C39" i="4" s="1"/>
  <c r="D30" i="13"/>
  <c r="D39" i="4" s="1"/>
  <c r="D14" i="13"/>
  <c r="D35" i="4" s="1"/>
  <c r="C102" i="10"/>
  <c r="F12" i="3" s="1"/>
  <c r="D102" i="10"/>
  <c r="G12" i="3" s="1"/>
  <c r="C49" i="10"/>
  <c r="F18" i="3" s="1"/>
  <c r="D49" i="10"/>
  <c r="G18" i="3" s="1"/>
  <c r="C44" i="10"/>
  <c r="F17" i="3" s="1"/>
  <c r="G17" i="3"/>
  <c r="G25" i="3"/>
  <c r="G20" i="3"/>
  <c r="D46" i="3"/>
  <c r="D32" i="3"/>
  <c r="C46" i="3"/>
  <c r="H19" i="15"/>
  <c r="D15" i="3"/>
  <c r="C13" i="5" l="1"/>
  <c r="D25" i="4"/>
  <c r="D22" i="4" s="1"/>
  <c r="M14" i="15"/>
  <c r="M124" i="9"/>
  <c r="L125" i="9"/>
  <c r="D19" i="3"/>
  <c r="L15" i="15"/>
  <c r="M15" i="15" s="1"/>
  <c r="C13" i="3"/>
  <c r="C11" i="3" s="1"/>
  <c r="D16" i="4"/>
  <c r="D11" i="3"/>
  <c r="C19" i="3"/>
  <c r="G11" i="3"/>
  <c r="D24" i="3"/>
  <c r="D19" i="15"/>
  <c r="M13" i="15"/>
  <c r="D55" i="3"/>
  <c r="G16" i="3"/>
  <c r="F13" i="3"/>
  <c r="C16" i="4"/>
  <c r="C8" i="4" s="1"/>
  <c r="L20" i="15"/>
  <c r="K19" i="15"/>
  <c r="F16" i="3"/>
  <c r="C25" i="3"/>
  <c r="C31" i="5" s="1"/>
  <c r="C40" i="3"/>
  <c r="F26" i="8"/>
  <c r="F19" i="15"/>
  <c r="J20" i="15"/>
  <c r="G19" i="15"/>
  <c r="F20" i="15"/>
  <c r="G20" i="15"/>
  <c r="N11" i="15"/>
  <c r="M125" i="9" l="1"/>
  <c r="C41" i="3"/>
  <c r="C27" i="5" s="1"/>
  <c r="C32" i="5" s="1"/>
  <c r="D8" i="4"/>
  <c r="D21" i="4" s="1"/>
  <c r="D33" i="4" s="1"/>
  <c r="F11" i="3"/>
  <c r="F29" i="3" s="1"/>
  <c r="C11" i="5"/>
  <c r="C21" i="4"/>
  <c r="D29" i="3"/>
  <c r="D56" i="3" s="1"/>
  <c r="N20" i="15"/>
  <c r="G29" i="3"/>
  <c r="G40" i="3" s="1"/>
  <c r="G56" i="3" s="1"/>
  <c r="C24" i="3"/>
  <c r="C17" i="5" s="1"/>
  <c r="C29" i="3"/>
  <c r="L19" i="15"/>
  <c r="M19" i="15" s="1"/>
  <c r="C33" i="4" l="1"/>
  <c r="C44" i="4" s="1"/>
  <c r="C47" i="4" s="1"/>
  <c r="C14" i="5"/>
  <c r="C22" i="5" s="1"/>
  <c r="C41" i="5" s="1"/>
  <c r="D44" i="4"/>
  <c r="D47" i="4" s="1"/>
  <c r="C55" i="3"/>
  <c r="C56" i="3" s="1"/>
  <c r="F40" i="3" l="1"/>
  <c r="D14" i="5"/>
  <c r="D22" i="5" s="1"/>
  <c r="D43" i="5" l="1"/>
  <c r="C42" i="5" s="1"/>
  <c r="C43" i="5" s="1"/>
  <c r="D41" i="5"/>
  <c r="F56" i="3"/>
</calcChain>
</file>

<file path=xl/sharedStrings.xml><?xml version="1.0" encoding="utf-8"?>
<sst xmlns="http://schemas.openxmlformats.org/spreadsheetml/2006/main" count="1191" uniqueCount="769">
  <si>
    <t xml:space="preserve">INFORMACION GENERAL DE LA ENTIDAD </t>
  </si>
  <si>
    <t>CARGO</t>
  </si>
  <si>
    <t>NOMBRE Y APELLIDO</t>
  </si>
  <si>
    <t xml:space="preserve">Presidente </t>
  </si>
  <si>
    <t>Vicepresidente</t>
  </si>
  <si>
    <t>Capital a Integrar</t>
  </si>
  <si>
    <t>Cantidad</t>
  </si>
  <si>
    <t>Activo</t>
  </si>
  <si>
    <t>PERIODO    ACTUAL</t>
  </si>
  <si>
    <t>PASIVO</t>
  </si>
  <si>
    <t>Activo Corriente</t>
  </si>
  <si>
    <t xml:space="preserve">Caja                                                                                              </t>
  </si>
  <si>
    <t>Bancos</t>
  </si>
  <si>
    <t>Títulos de Renta Variable</t>
  </si>
  <si>
    <t>Títulos de Renta Fija</t>
  </si>
  <si>
    <t>Inventario</t>
  </si>
  <si>
    <t>Documentos y Cuentas a Pagar</t>
  </si>
  <si>
    <t>Préstamos Financieros (Nota 5. k)</t>
  </si>
  <si>
    <t>Intereses a pagar</t>
  </si>
  <si>
    <t>Créditos (Nota 5. f)</t>
  </si>
  <si>
    <t xml:space="preserve">Deudores por Intermediación </t>
  </si>
  <si>
    <t xml:space="preserve">Documentos y cuentas por cobrar  </t>
  </si>
  <si>
    <t>Deudores Varios</t>
  </si>
  <si>
    <t xml:space="preserve">Provisiones (Nota 5. q) </t>
  </si>
  <si>
    <t>Impuestos a pagar</t>
  </si>
  <si>
    <t>Aportes y Retenciones a pagar</t>
  </si>
  <si>
    <t>Anticipo de clientes</t>
  </si>
  <si>
    <t xml:space="preserve">Otros Activos Corrientes </t>
  </si>
  <si>
    <t>Otros Pasivos (Nota 5. q)</t>
  </si>
  <si>
    <t xml:space="preserve">Dividendos a pagar </t>
  </si>
  <si>
    <t xml:space="preserve">Otros Pasivos Corrientes </t>
  </si>
  <si>
    <t>TOTAL ACTIVO CORRIENTE</t>
  </si>
  <si>
    <t>TOTAL PASIVO CORRIENTE</t>
  </si>
  <si>
    <t>ACTIVO NO CORRIENTE</t>
  </si>
  <si>
    <t>Menos: Previsión para Inversiones</t>
  </si>
  <si>
    <t>TOTAL PASIVO NO CORRIENTE</t>
  </si>
  <si>
    <t>(Depreciación acumulada)</t>
  </si>
  <si>
    <t>TOTAL PASIVO</t>
  </si>
  <si>
    <t xml:space="preserve">PATRIMONIO NETO </t>
  </si>
  <si>
    <t>Programas</t>
  </si>
  <si>
    <t>TOTAL ACTIVO NO CORRIENTE</t>
  </si>
  <si>
    <t>Capital Integrado</t>
  </si>
  <si>
    <t xml:space="preserve">Reservas Facultativas </t>
  </si>
  <si>
    <t>TOTAL PASIVO Y PATRIMONIO NETO</t>
  </si>
  <si>
    <r>
      <t>Disponibilidades</t>
    </r>
    <r>
      <rPr>
        <sz val="9"/>
        <color indexed="8"/>
        <rFont val="Arial"/>
        <family val="2"/>
      </rPr>
      <t xml:space="preserve"> (</t>
    </r>
    <r>
      <rPr>
        <b/>
        <sz val="9"/>
        <color indexed="8"/>
        <rFont val="Arial"/>
        <family val="2"/>
      </rPr>
      <t>Nota 5.d)</t>
    </r>
  </si>
  <si>
    <t xml:space="preserve">TOTAL ACTIVO  </t>
  </si>
  <si>
    <t>ELERCICIO ANTERIOR</t>
  </si>
  <si>
    <t>PERIODO ACTUAL</t>
  </si>
  <si>
    <t>IGUAL PERIODO DEL AÑO ANTERIOR</t>
  </si>
  <si>
    <t>INGRESOS OPERATIVOS</t>
  </si>
  <si>
    <t xml:space="preserve">. Comisiones por contratos de colocación primaria </t>
  </si>
  <si>
    <t xml:space="preserve">Comisiones por contratos de colocación primaria de acciones </t>
  </si>
  <si>
    <t>Comisiones por contratos de colocación primaria de renta fija</t>
  </si>
  <si>
    <t>. Comisiones por contratos de colocación secundaria</t>
  </si>
  <si>
    <t>Comisiones por contratos de colocación secundaria de acciones</t>
  </si>
  <si>
    <t>Comisiones por contratos de colocación secundaria de renta fija</t>
  </si>
  <si>
    <t>. Ingresos por asesoría financiera</t>
  </si>
  <si>
    <t>. Otros ingresos operativos (Nota 5. v)</t>
  </si>
  <si>
    <t>GASTOS OPERATIVOS</t>
  </si>
  <si>
    <t>Gastos por comisiones y servicios</t>
  </si>
  <si>
    <t>Aranceles por negociación Bolsa de Valores (Nota 5. w)</t>
  </si>
  <si>
    <t>Otros gastos operativos (Nota 5. w)</t>
  </si>
  <si>
    <t>RESULTADO OPERATIVO BRUTO</t>
  </si>
  <si>
    <t>GASTOS DE COMERCIALIZACION</t>
  </si>
  <si>
    <t>Publicidad</t>
  </si>
  <si>
    <t>Folletos e Impresiones</t>
  </si>
  <si>
    <t>Otros gastos de comercialización (Nota 5. w)</t>
  </si>
  <si>
    <t>GASTOS DE ADMINISTRACION</t>
  </si>
  <si>
    <t>Servicios personales</t>
  </si>
  <si>
    <t>Previsión, amortización y depreciaciones</t>
  </si>
  <si>
    <t>Mantenimientos</t>
  </si>
  <si>
    <t>Seguros</t>
  </si>
  <si>
    <t>Impuestos, tasas y contribuciones</t>
  </si>
  <si>
    <t>Otros gastos de administración (Nota 5. w)</t>
  </si>
  <si>
    <t>RESULTADO OPERATIVO NETO</t>
  </si>
  <si>
    <t>Otros Ingresos y Egresos (Nota 5. x)</t>
  </si>
  <si>
    <t>Otros Ingresos</t>
  </si>
  <si>
    <t>Otros Egresos</t>
  </si>
  <si>
    <t>RESULTADOS FINANCIEROS</t>
  </si>
  <si>
    <t>Generados por activos:</t>
  </si>
  <si>
    <t>Intereses cobrados (Nota 5. y)</t>
  </si>
  <si>
    <t>Diferencia de cambio</t>
  </si>
  <si>
    <t>Generados por pasivos:</t>
  </si>
  <si>
    <t>Intereses pagados (Nota 5. y)</t>
  </si>
  <si>
    <t>UTILIDAD O (PERDIDA)</t>
  </si>
  <si>
    <t>IMPUESTO A LA RENTA</t>
  </si>
  <si>
    <t>RESERVA LEGAL</t>
  </si>
  <si>
    <t>RESULTADO DEL EJERCICIO</t>
  </si>
  <si>
    <t>ESTADO DE FLUJO DE EFECTIVO</t>
  </si>
  <si>
    <t xml:space="preserve"> (En guaraníes)</t>
  </si>
  <si>
    <t>FLUJO DE EFECTIVO POR LAS ACTIVIDADES OPERATIVAS</t>
  </si>
  <si>
    <t>Ingresos en efectivo por comisiones y otros</t>
  </si>
  <si>
    <t>Efectivo pagado a empleados</t>
  </si>
  <si>
    <t>Efectivo generado (usado) por otras actividades</t>
  </si>
  <si>
    <t>Total de Efectivo por las actividades operativas antes de cambio en los activos de operaciones</t>
  </si>
  <si>
    <t>(Aumento) disminución en los activos de operación</t>
  </si>
  <si>
    <t>Otros activos</t>
  </si>
  <si>
    <t>Aumento (o Disminución) en pasivos operativos</t>
  </si>
  <si>
    <t>Pagos a proveedores</t>
  </si>
  <si>
    <t>Efectivo neto de actividades de operaciones antes del impuesto</t>
  </si>
  <si>
    <t>Efectivo neto de actividades de operación</t>
  </si>
  <si>
    <t>FLUJO DE EFECTIVO POR LAS ACTIVIDADES DE INVERSION</t>
  </si>
  <si>
    <t>Inversiones en otras empresas</t>
  </si>
  <si>
    <t>Inversiones temporarias</t>
  </si>
  <si>
    <t>Fondos con destino especial</t>
  </si>
  <si>
    <t>Adquisición y títulos de deudas (cartera propia)</t>
  </si>
  <si>
    <t>Dividendos percibidos</t>
  </si>
  <si>
    <t>Anticipos de clientes</t>
  </si>
  <si>
    <t>Efectivo neto por (o usado) en actividades de inversión</t>
  </si>
  <si>
    <t>FLUJO DE EFECTIVO POR LAS ACTIVIDADES DE FINANCIAMIENTO</t>
  </si>
  <si>
    <t>Aportes de capital</t>
  </si>
  <si>
    <t>Provenientes de préstamos y otras deudas</t>
  </si>
  <si>
    <t>Dividendos pagados</t>
  </si>
  <si>
    <t>Intereses pagados</t>
  </si>
  <si>
    <t>Efectivo neto en actividades de financiamiento</t>
  </si>
  <si>
    <t>Aumento (o Disminución) neto de efectivo y sus equivalentes</t>
  </si>
  <si>
    <t>Efectivo y su equivalente al comienzo del período</t>
  </si>
  <si>
    <t>Efectivo y su equivalente al cierre del período</t>
  </si>
  <si>
    <t>ESTADO DE VARIACION DEL PATRIMONIO NETO</t>
  </si>
  <si>
    <t>(En guaraníes)</t>
  </si>
  <si>
    <t>Movimientos</t>
  </si>
  <si>
    <t>CAPITAL</t>
  </si>
  <si>
    <t>RESERVAS</t>
  </si>
  <si>
    <t>RESULTADOS</t>
  </si>
  <si>
    <t>PATRIMONIO NETO</t>
  </si>
  <si>
    <t>Suscripto</t>
  </si>
  <si>
    <t>A Integrar</t>
  </si>
  <si>
    <t>Prima</t>
  </si>
  <si>
    <t>Integrado</t>
  </si>
  <si>
    <t>Legal</t>
  </si>
  <si>
    <t>Revalúo</t>
  </si>
  <si>
    <t>Aumento de Capital</t>
  </si>
  <si>
    <t>Acumulados</t>
  </si>
  <si>
    <t>Del Ejercicio</t>
  </si>
  <si>
    <t>Período</t>
  </si>
  <si>
    <t>Actual</t>
  </si>
  <si>
    <t>Período anterior</t>
  </si>
  <si>
    <t>-</t>
  </si>
  <si>
    <t>Movimientos subsecuentes</t>
  </si>
  <si>
    <t>Reserva Legal</t>
  </si>
  <si>
    <t>NOTAS A LOS ESTADOS CONTABLES</t>
  </si>
  <si>
    <t xml:space="preserve">1) </t>
  </si>
  <si>
    <t xml:space="preserve">2) </t>
  </si>
  <si>
    <t>2.1. Naturaleza jurídica de las actividades de la sociedad.</t>
  </si>
  <si>
    <t>La duración de la Sociedad queda fijada en (99) noventa y nueve años, contados a partir de la fecha de inscripción de la misma en el Registro Público de Comercio.</t>
  </si>
  <si>
    <t xml:space="preserve">La Sociedad tiene por objeto principal la intermediación en el Mercado de Valores, en forma habitual, y por cuenta ajena. Mediante la realización de operaciones de compra –venta, colocación, corretaje, comisión o negociación de títulos –valores emitidos por terceros, respecto de los cuales se hagan oferta pública, y podrá realizar en general, todas aquellas actividades complementarias, conexas o afines con la intermediación de valores y debidamente inscriptos en el Registro de Intermediarios. </t>
  </si>
  <si>
    <t>2.2. Participación en otras empresas.</t>
  </si>
  <si>
    <t>3)</t>
  </si>
  <si>
    <t>El criterio adoptado para las depreciaciones es el método lineal de acuerdo a los años de vida útil del bien.</t>
  </si>
  <si>
    <t>3.5.             Estado de Flujo de Efectivo: La clasificación de flujo de efectivo se ha realizado de acuerdo a las actividades operativas, de inversión y de financiamiento, y reflejan los ingresos y egresos de las principales actividades operativas, actividades de adquisición y enajenación de activos a largo plazo (actividades de inversión) y actividades que dan por resultado cambios en el tamaño y composición el capital contable y los préstamos de la empresa (actividad de financiamiento).</t>
  </si>
  <si>
    <t>3.6.             Normas aplicadas para la consolidación de Estados Contables: No Aplicable.</t>
  </si>
  <si>
    <t>4)</t>
  </si>
  <si>
    <t>a)  Valuación en moneda extranjera</t>
  </si>
  <si>
    <t>A continuación, se detalla el tipo de cambio utilizado para convertir a moneda nacional los saldos en moneda extranjera.</t>
  </si>
  <si>
    <t xml:space="preserve">Período actual </t>
  </si>
  <si>
    <t>en Gs.</t>
  </si>
  <si>
    <t xml:space="preserve">Período  </t>
  </si>
  <si>
    <t xml:space="preserve"> anterior en Gs.</t>
  </si>
  <si>
    <t>Tipo de cambio comprador</t>
  </si>
  <si>
    <t xml:space="preserve">Tipo de cambio vendedor       </t>
  </si>
  <si>
    <t>b) Posición en moneda extranjera</t>
  </si>
  <si>
    <t>ACTIVOS Y PASIVOS EN MONEDA EXTRANJERA</t>
  </si>
  <si>
    <t>DETALLE</t>
  </si>
  <si>
    <t>MONEDA EXTRANJERA – CLASE</t>
  </si>
  <si>
    <t>MONEDA EXTRANJERA – MONTO</t>
  </si>
  <si>
    <t>CAMBIO CIERRE – PERIODO ACTUAL</t>
  </si>
  <si>
    <t>SALDO – PERIODO ACTUAL (GUARANIES)</t>
  </si>
  <si>
    <t>CAMBIO CIERRE – PERIODO ANTERIOR</t>
  </si>
  <si>
    <t>ACTIVO</t>
  </si>
  <si>
    <t>ACTIVOS CORRIENTES</t>
  </si>
  <si>
    <t>c) Diferencia de cambio en moneda extranjera</t>
  </si>
  <si>
    <t>CONCEPTO</t>
  </si>
  <si>
    <t>TIPO DE CAMBIO PERIODO ACTUAL</t>
  </si>
  <si>
    <t>MONTO AJUSTADO PERIODO ACTUAL G.</t>
  </si>
  <si>
    <t>TIPO DE CAMBIO  PERIODO ANTERIOR</t>
  </si>
  <si>
    <t>MONTO AJUSTADO  PERIODO ANTERIOR G.</t>
  </si>
  <si>
    <t xml:space="preserve">d) Disponibilidades </t>
  </si>
  <si>
    <t>La composición de este rubro está compuesta por:</t>
  </si>
  <si>
    <t xml:space="preserve">Concepto </t>
  </si>
  <si>
    <t>Período Actual Gs.</t>
  </si>
  <si>
    <t xml:space="preserve"> Período Anterior Gs.</t>
  </si>
  <si>
    <t>Fondo Fijo</t>
  </si>
  <si>
    <t xml:space="preserve"> Totales </t>
  </si>
  <si>
    <t xml:space="preserve">e) Inversiones Permanentes </t>
  </si>
  <si>
    <t>Este rubro está compuesto por las siguientes cuentas:</t>
  </si>
  <si>
    <t>INFORMACIÓN SOBRE EL DOCUMENTO Y EMISOR</t>
  </si>
  <si>
    <t>INFORMACIÓN SOBRE EL EMISOR</t>
  </si>
  <si>
    <t>TIPO</t>
  </si>
  <si>
    <t>CANTIDAD DE TITULOS</t>
  </si>
  <si>
    <t>VALOR NOMINAL UNITARIO</t>
  </si>
  <si>
    <t>VALOR</t>
  </si>
  <si>
    <t>RESULTADO</t>
  </si>
  <si>
    <t>PATRIM.</t>
  </si>
  <si>
    <t>EMISOR</t>
  </si>
  <si>
    <t>DE TITULO</t>
  </si>
  <si>
    <t>CONTABLE</t>
  </si>
  <si>
    <t>NETO</t>
  </si>
  <si>
    <t>Inversiones Permanentes</t>
  </si>
  <si>
    <t>TOTALES PERÍODO ACTUAL G.</t>
  </si>
  <si>
    <t>TOTALES PERíODO ANTERIOR G.</t>
  </si>
  <si>
    <t xml:space="preserve">Acciones BVPASA </t>
  </si>
  <si>
    <t>Valor Nominal</t>
  </si>
  <si>
    <t>Valor Libro de la acción</t>
  </si>
  <si>
    <t>Valor último remate</t>
  </si>
  <si>
    <t>Saldo período actual en Gs.</t>
  </si>
  <si>
    <t>Saldo período anterior en Gs.</t>
  </si>
  <si>
    <t xml:space="preserve">f) Créditos  </t>
  </si>
  <si>
    <t>Período Anterior Gs.</t>
  </si>
  <si>
    <t>Totales</t>
  </si>
  <si>
    <t>g) Bienes de Uso</t>
  </si>
  <si>
    <t>CUENTAS</t>
  </si>
  <si>
    <t>VALORES DE ORIGEN</t>
  </si>
  <si>
    <t>DEPRECIACIONES</t>
  </si>
  <si>
    <t>Valores al  inicio del  ejercicio</t>
  </si>
  <si>
    <t>Altas</t>
  </si>
  <si>
    <t>Bajas</t>
  </si>
  <si>
    <t>Revalúo del período</t>
  </si>
  <si>
    <t>Valores al cierre del período</t>
  </si>
  <si>
    <t>Acumuladas al inicio del ejercicio</t>
  </si>
  <si>
    <t>Deprecia- ción del período</t>
  </si>
  <si>
    <t>Acumuladas al cierre</t>
  </si>
  <si>
    <t>Neto resultante</t>
  </si>
  <si>
    <t>Muebles y útiles</t>
  </si>
  <si>
    <t>Totales período actual</t>
  </si>
  <si>
    <t>Totales  período anterior</t>
  </si>
  <si>
    <t>h) Cargos Diferidos</t>
  </si>
  <si>
    <t>No Aplicable</t>
  </si>
  <si>
    <t>i) Activos Intangibles</t>
  </si>
  <si>
    <t>SALDO</t>
  </si>
  <si>
    <t>INICIAL</t>
  </si>
  <si>
    <t>AUMENTOS</t>
  </si>
  <si>
    <t>AMORTIZACIONES</t>
  </si>
  <si>
    <t>NETO FINAL</t>
  </si>
  <si>
    <t>Total actual</t>
  </si>
  <si>
    <t>Total período anterior</t>
  </si>
  <si>
    <t>j) Otros Activos</t>
  </si>
  <si>
    <t xml:space="preserve">k) Préstamos Financieros (Pasivo Corriente) </t>
  </si>
  <si>
    <t xml:space="preserve">PRESTAMOS </t>
  </si>
  <si>
    <t>Período Actual en Gs.</t>
  </si>
  <si>
    <t>Período anterior en Gs.</t>
  </si>
  <si>
    <t>INTERESES A PAGAR</t>
  </si>
  <si>
    <t>SOBREGIRO BANCARIO</t>
  </si>
  <si>
    <t xml:space="preserve">l) Documentos y Cuentas por pagar (Pasivo Corriente) </t>
  </si>
  <si>
    <t>Período anterior Gs.</t>
  </si>
  <si>
    <t>BVPASA - ( Aranceles )</t>
  </si>
  <si>
    <t>n) Administración de Cartera (corto y largo plazo)</t>
  </si>
  <si>
    <t>p) Obligaciones por contrato de Underwriting (corto y largo plazo)</t>
  </si>
  <si>
    <t>q) Otros Pasivos (Pasivo Corriente)</t>
  </si>
  <si>
    <t>Concepto</t>
  </si>
  <si>
    <t>Provisiones (Pasivo Corriente)</t>
  </si>
  <si>
    <t>r) Saldos y transacciones con personas y empresas relacionadas (Corriente y No Corriente)</t>
  </si>
  <si>
    <t>s) Resultado con personas y empresas vinculadas</t>
  </si>
  <si>
    <t>t) Patrimonio</t>
  </si>
  <si>
    <t>SALDO AL INICIO DEL PERIODO ANTERIOR G.</t>
  </si>
  <si>
    <t>DISMINUCIÓN</t>
  </si>
  <si>
    <t>SALDO AL CIERRE DEL PERIODO G.</t>
  </si>
  <si>
    <t>Prima por Emisión</t>
  </si>
  <si>
    <t>Reservas</t>
  </si>
  <si>
    <t>Resultados Acumulados</t>
  </si>
  <si>
    <t>Resultados del Ejercicio</t>
  </si>
  <si>
    <t>TOTAL</t>
  </si>
  <si>
    <t>u) Previsiones</t>
  </si>
  <si>
    <t xml:space="preserve">v) Ingresos Operativos </t>
  </si>
  <si>
    <t>Ingresos por operaciones y servicios a personas relacionadas</t>
  </si>
  <si>
    <t xml:space="preserve">Otros Ingresos Operativos </t>
  </si>
  <si>
    <t>Período Actual</t>
  </si>
  <si>
    <t xml:space="preserve"> en Gs.</t>
  </si>
  <si>
    <t xml:space="preserve">Igual Período de año </t>
  </si>
  <si>
    <t>anterior en Gs.</t>
  </si>
  <si>
    <t>Venta de Acciones</t>
  </si>
  <si>
    <t>Venta de Bonos</t>
  </si>
  <si>
    <t>Otros ingresos</t>
  </si>
  <si>
    <t>w) Otros gastos operativos, de comercialización y de administración</t>
  </si>
  <si>
    <t>Aranceles por Negociación Bolsa de Valores</t>
  </si>
  <si>
    <t xml:space="preserve">Período Actual </t>
  </si>
  <si>
    <t xml:space="preserve">      anterior en Gs.</t>
  </si>
  <si>
    <t>Aranceles por negociación en Bolsa</t>
  </si>
  <si>
    <t xml:space="preserve">Gastos Administrativos - BVPASA </t>
  </si>
  <si>
    <t>Aranceles – CNV y SEPRELAD</t>
  </si>
  <si>
    <t xml:space="preserve"> Igual Período de año  </t>
  </si>
  <si>
    <t>Otros Gastos de Comercialización</t>
  </si>
  <si>
    <t>Gastos de movilidad</t>
  </si>
  <si>
    <t xml:space="preserve">Otros Gastos de Administración </t>
  </si>
  <si>
    <t>Aporte patronal</t>
  </si>
  <si>
    <t>Aguinaldos pagados</t>
  </si>
  <si>
    <t>Vacaciones pagadas</t>
  </si>
  <si>
    <t>Indemnizaciones</t>
  </si>
  <si>
    <t>Remuneración personal superior</t>
  </si>
  <si>
    <t>Honorarios profesionales</t>
  </si>
  <si>
    <t>Gratificaciones</t>
  </si>
  <si>
    <t>Alquileres</t>
  </si>
  <si>
    <t>Útiles de oficina</t>
  </si>
  <si>
    <t>Comisiones y gastos bancarios operacionales</t>
  </si>
  <si>
    <t>Multas y recargos</t>
  </si>
  <si>
    <t>Gastos de consumición y limpieza</t>
  </si>
  <si>
    <t>Seguridad y vigilancia</t>
  </si>
  <si>
    <t xml:space="preserve">Gastos no deducibles                     </t>
  </si>
  <si>
    <t>Viáticos</t>
  </si>
  <si>
    <t>Otros gastos de administración</t>
  </si>
  <si>
    <t>Comisiones y gastos bancarios sobre operaciones crediticias</t>
  </si>
  <si>
    <t>x) Otros Ingresos y Egresos</t>
  </si>
  <si>
    <t>Igual Período de año anterior en Gs.</t>
  </si>
  <si>
    <t>Totales:</t>
  </si>
  <si>
    <t>y) Resultados Financieros</t>
  </si>
  <si>
    <t xml:space="preserve">z) Resultados Extraordinarios </t>
  </si>
  <si>
    <t>6)</t>
  </si>
  <si>
    <t>Información referente a contingencias y compromisos.</t>
  </si>
  <si>
    <t>a) Compromisos directos</t>
  </si>
  <si>
    <t>b) Contingencias Legales</t>
  </si>
  <si>
    <t>Detalle de la Póliza</t>
  </si>
  <si>
    <t>Hechos posteriores al cierre del ejercicio.</t>
  </si>
  <si>
    <t xml:space="preserve">8) </t>
  </si>
  <si>
    <t>Limitación a la libre disponibilidad de los activos o del patrimonio y cualquier restricción al derecho de propiedad.</t>
  </si>
  <si>
    <t>Cambios Contables.</t>
  </si>
  <si>
    <t>10)</t>
  </si>
  <si>
    <t>Restricciones para distribución de utilidades.</t>
  </si>
  <si>
    <t>11)</t>
  </si>
  <si>
    <t>Sanciones.</t>
  </si>
  <si>
    <t>TOTAL PATRIMONIO NETO</t>
  </si>
  <si>
    <t>Saldo al inicio del ejercicio</t>
  </si>
  <si>
    <t>Resultado del Ejercicio</t>
  </si>
  <si>
    <t>SALDO – PERIODO ANTERIOR  (GUARANIES)</t>
  </si>
  <si>
    <t>MONEDA EXTRANJERA - MONTO</t>
  </si>
  <si>
    <t>Acreedores Varios (Nota 5. l)</t>
  </si>
  <si>
    <t>Fondo de garantía - BVPASA</t>
  </si>
  <si>
    <t>Retenciones IDU</t>
  </si>
  <si>
    <t>Obligac. por Administración de Cartera (5.n)</t>
  </si>
  <si>
    <t>Capacitación al Personal</t>
  </si>
  <si>
    <t>Gtos. De Representación</t>
  </si>
  <si>
    <r>
      <t>Acreedores por Intermediación</t>
    </r>
    <r>
      <rPr>
        <b/>
        <sz val="9"/>
        <rFont val="Arial"/>
        <family val="2"/>
      </rPr>
      <t xml:space="preserve"> (</t>
    </r>
    <r>
      <rPr>
        <sz val="9"/>
        <rFont val="Arial"/>
        <family val="2"/>
      </rPr>
      <t>Nota 5.m)</t>
    </r>
  </si>
  <si>
    <t>Cuentas de Orden Deudoras</t>
  </si>
  <si>
    <t>Cuentas de Orden Acreedoras</t>
  </si>
  <si>
    <t>Total período Actual</t>
  </si>
  <si>
    <t>Total período Anterior</t>
  </si>
  <si>
    <t>Equipos</t>
  </si>
  <si>
    <t>Rodados</t>
  </si>
  <si>
    <t>Compra de propiedades, planta y equipo</t>
  </si>
  <si>
    <t>R. ACCIONES</t>
  </si>
  <si>
    <r>
      <t>Impuestos</t>
    </r>
    <r>
      <rPr>
        <b/>
        <sz val="10"/>
        <color indexed="8"/>
        <rFont val="Calibri"/>
        <family val="2"/>
      </rPr>
      <t xml:space="preserve"> </t>
    </r>
  </si>
  <si>
    <t>No Posee sanciones con la Comision Nacional de Valores u otras entidades fiscalizadoras.</t>
  </si>
  <si>
    <t>La firma cuenta  con la libre disposicion  de su patrimonio.</t>
  </si>
  <si>
    <t>No existen hechos posteriores al cierre del ejercicio que impliquen alteraciones significativas a la estructura patrimonial y resultado del ejercicio.</t>
  </si>
  <si>
    <r>
      <t xml:space="preserve">Diferencia de cambio </t>
    </r>
    <r>
      <rPr>
        <sz val="10"/>
        <color indexed="8"/>
        <rFont val="Calibri"/>
        <family val="2"/>
      </rPr>
      <t>(7)</t>
    </r>
  </si>
  <si>
    <t>PERIODO    ANTERIOR</t>
  </si>
  <si>
    <t>Anticipo Impuesto a la Renta</t>
  </si>
  <si>
    <t>Retenciones de IVA</t>
  </si>
  <si>
    <t>IVA Credito Fiscal - 10%</t>
  </si>
  <si>
    <t>Reserva de Revaluo Fiscal</t>
  </si>
  <si>
    <t xml:space="preserve">Resultado del Ejercicio </t>
  </si>
  <si>
    <t xml:space="preserve">7) </t>
  </si>
  <si>
    <t>9)</t>
  </si>
  <si>
    <t>Venta de CDA</t>
  </si>
  <si>
    <t xml:space="preserve">Ingresos por Operaciones y servicios extrabursatiles </t>
  </si>
  <si>
    <t>Ingresos por Servicios de Rep. De Tenedores</t>
  </si>
  <si>
    <t>Agua, Luz y Telefono</t>
  </si>
  <si>
    <t>Intereses Pagados</t>
  </si>
  <si>
    <t>facultativa</t>
  </si>
  <si>
    <t>USD</t>
  </si>
  <si>
    <t>BOLSA DE VALORES Y PRODUCTOS DE ASUNCION S.A.</t>
  </si>
  <si>
    <t>ACCION</t>
  </si>
  <si>
    <t xml:space="preserve">  CONCEPTO</t>
  </si>
  <si>
    <t xml:space="preserve"> CONCEPTO</t>
  </si>
  <si>
    <t>Capital Social</t>
  </si>
  <si>
    <t>Capital Emitido</t>
  </si>
  <si>
    <t>% PARTIC.CAPITAL INTEGRADO</t>
  </si>
  <si>
    <t>Ordinaria</t>
  </si>
  <si>
    <t xml:space="preserve"> </t>
  </si>
  <si>
    <t>Capital Suscripto e Integrado</t>
  </si>
  <si>
    <t>Anticipo a Proveedores</t>
  </si>
  <si>
    <t xml:space="preserve">Reservas  </t>
  </si>
  <si>
    <t>Aporte p/ futuras Capitalizaciones</t>
  </si>
  <si>
    <t>Sindico</t>
  </si>
  <si>
    <t>Nombre</t>
  </si>
  <si>
    <t>Cargo</t>
  </si>
  <si>
    <t>PASIVOS CORRIENTES</t>
  </si>
  <si>
    <t>Intereses Financieros</t>
  </si>
  <si>
    <t>Intereses Bursatiles Titulos/Bonos</t>
  </si>
  <si>
    <t>Las 11 notas y sus anexos aclaratorios que se acompañan son parte integrante de estos estados financieros.</t>
  </si>
  <si>
    <t>s/ Movimiento</t>
  </si>
  <si>
    <r>
      <t>b-</t>
    </r>
    <r>
      <rPr>
        <b/>
        <sz val="7"/>
        <rFont val="Times New Roman"/>
        <family val="1"/>
      </rPr>
      <t xml:space="preserve">      </t>
    </r>
    <r>
      <rPr>
        <b/>
        <sz val="11"/>
        <rFont val="Calibri"/>
        <family val="2"/>
      </rPr>
      <t>Otros Egresos:</t>
    </r>
  </si>
  <si>
    <t>No posee</t>
  </si>
  <si>
    <t>1.            IDENTIFICACIÓN</t>
  </si>
  <si>
    <t>Razón Social:</t>
  </si>
  <si>
    <t>Registro CNV:</t>
  </si>
  <si>
    <t>Código Bolsa:</t>
  </si>
  <si>
    <t>Dirección Oficina Principal:</t>
  </si>
  <si>
    <t>Teléfono:</t>
  </si>
  <si>
    <t>E-mail:</t>
  </si>
  <si>
    <t>Sitio Página Web:</t>
  </si>
  <si>
    <t>Domicilio Legal:</t>
  </si>
  <si>
    <t>RUC N°</t>
  </si>
  <si>
    <t xml:space="preserve">2.            ANTECEDENTES DE CONSTITUCIÓN </t>
  </si>
  <si>
    <t xml:space="preserve">3.            ADMINISTRACION </t>
  </si>
  <si>
    <t>Representantes Legales</t>
  </si>
  <si>
    <t>Presidente</t>
  </si>
  <si>
    <t>Vice-presidente</t>
  </si>
  <si>
    <t>Plana Ejecutiva</t>
  </si>
  <si>
    <t>Auditoría Interna</t>
  </si>
  <si>
    <t>Contador</t>
  </si>
  <si>
    <t>Dora Busto de Arzamendia</t>
  </si>
  <si>
    <t xml:space="preserve">4.            CAPITAL Y PROPIEDAD </t>
  </si>
  <si>
    <r>
      <t xml:space="preserve">c) Garantías constituidas: </t>
    </r>
    <r>
      <rPr>
        <sz val="10"/>
        <color indexed="8"/>
        <rFont val="Arial Nova"/>
        <family val="2"/>
      </rPr>
      <t>Póliza de Caución / Garantía de Desempeño Profesional</t>
    </r>
  </si>
  <si>
    <t>a-      Otros Ingresos:</t>
  </si>
  <si>
    <r>
      <t>a-</t>
    </r>
    <r>
      <rPr>
        <b/>
        <sz val="10"/>
        <color indexed="8"/>
        <rFont val="Arial Nova"/>
        <family val="2"/>
      </rPr>
      <t>      Intereses cobrados:</t>
    </r>
  </si>
  <si>
    <r>
      <t>b-</t>
    </r>
    <r>
      <rPr>
        <b/>
        <sz val="10"/>
        <color indexed="8"/>
        <rFont val="Arial Nova"/>
        <family val="2"/>
      </rPr>
      <t>      Intereses pagados:</t>
    </r>
  </si>
  <si>
    <r>
      <t xml:space="preserve">o) </t>
    </r>
    <r>
      <rPr>
        <b/>
        <sz val="10"/>
        <color indexed="8"/>
        <rFont val="Arial Nova"/>
        <family val="2"/>
      </rPr>
      <t>Cuentas a pagar a personas y empresas relacionadas (corto y largo plazo)</t>
    </r>
  </si>
  <si>
    <r>
      <t>-</t>
    </r>
    <r>
      <rPr>
        <sz val="10"/>
        <color indexed="8"/>
        <rFont val="Arial Nova"/>
        <family val="2"/>
      </rPr>
      <t xml:space="preserve">           </t>
    </r>
    <r>
      <rPr>
        <i/>
        <sz val="10"/>
        <color indexed="8"/>
        <rFont val="Arial Nova"/>
        <family val="2"/>
      </rPr>
      <t>Cliente Nro.1049</t>
    </r>
  </si>
  <si>
    <r>
      <t>-</t>
    </r>
    <r>
      <rPr>
        <sz val="10"/>
        <color indexed="8"/>
        <rFont val="Arial Nova"/>
        <family val="2"/>
      </rPr>
      <t xml:space="preserve">           </t>
    </r>
    <r>
      <rPr>
        <i/>
        <sz val="10"/>
        <color indexed="8"/>
        <rFont val="Arial Nova"/>
        <family val="2"/>
      </rPr>
      <t>Cliente Nro.1771</t>
    </r>
  </si>
  <si>
    <r>
      <t>-</t>
    </r>
    <r>
      <rPr>
        <sz val="10"/>
        <color indexed="8"/>
        <rFont val="Arial Nova"/>
        <family val="2"/>
      </rPr>
      <t xml:space="preserve">           </t>
    </r>
    <r>
      <rPr>
        <i/>
        <sz val="10"/>
        <color indexed="8"/>
        <rFont val="Arial Nova"/>
        <family val="2"/>
      </rPr>
      <t>Cliente Nro.9753</t>
    </r>
  </si>
  <si>
    <r>
      <t>a-</t>
    </r>
    <r>
      <rPr>
        <b/>
        <sz val="10"/>
        <color indexed="8"/>
        <rFont val="Arial Nova"/>
        <family val="2"/>
      </rPr>
      <t>      Otros Activos Corrientes</t>
    </r>
  </si>
  <si>
    <r>
      <t>a-</t>
    </r>
    <r>
      <rPr>
        <b/>
        <sz val="10"/>
        <color indexed="8"/>
        <rFont val="Arial Nova"/>
        <family val="2"/>
      </rPr>
      <t>      Préstamos:</t>
    </r>
  </si>
  <si>
    <t>b-      Intereses a pagar:</t>
  </si>
  <si>
    <r>
      <t>c-</t>
    </r>
    <r>
      <rPr>
        <b/>
        <sz val="10"/>
        <color indexed="8"/>
        <rFont val="Arial Nova"/>
        <family val="2"/>
      </rPr>
      <t>      Sobregiros bancarios:</t>
    </r>
  </si>
  <si>
    <r>
      <t>d-</t>
    </r>
    <r>
      <rPr>
        <b/>
        <sz val="10"/>
        <color indexed="8"/>
        <rFont val="Arial Nova"/>
        <family val="2"/>
      </rPr>
      <t>      Préstamos Porcion no corriente:</t>
    </r>
  </si>
  <si>
    <r>
      <t>m) Acreedores por Intermediación</t>
    </r>
    <r>
      <rPr>
        <sz val="10"/>
        <color theme="1"/>
        <rFont val="Arial Nova"/>
        <family val="2"/>
      </rPr>
      <t>:</t>
    </r>
  </si>
  <si>
    <r>
      <t>a-</t>
    </r>
    <r>
      <rPr>
        <b/>
        <sz val="10"/>
        <color indexed="8"/>
        <rFont val="Arial Nova"/>
        <family val="2"/>
      </rPr>
      <t>      Documentos y cuentas por cobrar</t>
    </r>
    <r>
      <rPr>
        <sz val="10"/>
        <color indexed="8"/>
        <rFont val="Arial Nova"/>
        <family val="2"/>
      </rPr>
      <t xml:space="preserve">: </t>
    </r>
  </si>
  <si>
    <r>
      <t>b-</t>
    </r>
    <r>
      <rPr>
        <b/>
        <sz val="10"/>
        <color indexed="8"/>
        <rFont val="Arial Nova"/>
        <family val="2"/>
      </rPr>
      <t>      Deudores Varios</t>
    </r>
    <r>
      <rPr>
        <sz val="10"/>
        <color indexed="8"/>
        <rFont val="Arial Nova"/>
        <family val="2"/>
      </rPr>
      <t xml:space="preserve">: </t>
    </r>
  </si>
  <si>
    <t>Criterios específicos de valuación.</t>
  </si>
  <si>
    <t>CUADRO DE  CAPITAL SUSCRIPTO E INTEGRADO</t>
  </si>
  <si>
    <t>Auditor Interno</t>
  </si>
  <si>
    <t xml:space="preserve">5.            CAPITAL Y PROPIEDAD </t>
  </si>
  <si>
    <t>AUDITOR EXTERNO INDEPENDIENTE</t>
  </si>
  <si>
    <t>Nombre:</t>
  </si>
  <si>
    <t>Dirección:</t>
  </si>
  <si>
    <t>RUC:</t>
  </si>
  <si>
    <t xml:space="preserve">6.            CAPITAL Y PROPIEDAD </t>
  </si>
  <si>
    <t>PERSONAS Y EMPRESAS VINCULADAS</t>
  </si>
  <si>
    <t xml:space="preserve">Director  </t>
  </si>
  <si>
    <r>
      <t xml:space="preserve">             5)</t>
    </r>
    <r>
      <rPr>
        <b/>
        <sz val="7"/>
        <color indexed="8"/>
        <rFont val="Times New Roman"/>
        <family val="1"/>
      </rPr>
      <t>              </t>
    </r>
  </si>
  <si>
    <r>
      <rPr>
        <b/>
        <sz val="16"/>
        <color theme="4"/>
        <rFont val="Arial Nova"/>
        <family val="2"/>
      </rPr>
      <t>ESTADOS FINANCIEROS
 CAPITAL MARKETS Casa de Bolsa S.A.</t>
    </r>
    <r>
      <rPr>
        <u/>
        <sz val="14"/>
        <color theme="4"/>
        <rFont val="Arial Nova"/>
        <family val="2"/>
      </rPr>
      <t xml:space="preserve"> </t>
    </r>
    <r>
      <rPr>
        <sz val="11"/>
        <color theme="4"/>
        <rFont val="Arial Nova"/>
        <family val="2"/>
      </rPr>
      <t xml:space="preserve">
</t>
    </r>
  </si>
  <si>
    <t>Compañía de Seguro :</t>
  </si>
  <si>
    <t>Aseguradora Paraguaya S.A.E.C.A.</t>
  </si>
  <si>
    <t>Número de Póliza :</t>
  </si>
  <si>
    <t>Asegurado :</t>
  </si>
  <si>
    <t>Bolsa de Valores y Productos de Asunción S.A.</t>
  </si>
  <si>
    <t>Tomador:</t>
  </si>
  <si>
    <t>Capital Markets Casa de Bolsa S.A.</t>
  </si>
  <si>
    <t>Fecha de emisión :</t>
  </si>
  <si>
    <t>Vigencia desde :</t>
  </si>
  <si>
    <t>Vigencia hasta :</t>
  </si>
  <si>
    <t>Plazo en días :</t>
  </si>
  <si>
    <t>Capital máximo asegurado :</t>
  </si>
  <si>
    <t>Con referencia a la contabilizacion de ventas de ttitutlos / Valores Financieros, se refleja actualmente solo los montos netos de ganancia/perdida</t>
  </si>
  <si>
    <r>
      <t>Consideración de los Estados Contables</t>
    </r>
    <r>
      <rPr>
        <b/>
        <sz val="11"/>
        <color theme="1"/>
        <rFont val="Calibri"/>
        <family val="2"/>
      </rPr>
      <t xml:space="preserve">. </t>
    </r>
  </si>
  <si>
    <r>
      <t>Información básica de la empresa</t>
    </r>
    <r>
      <rPr>
        <b/>
        <sz val="11"/>
        <color theme="1"/>
        <rFont val="Calibri"/>
        <family val="2"/>
      </rPr>
      <t>.</t>
    </r>
  </si>
  <si>
    <r>
      <t>Capital Markets Casa de Bolsa S.A</t>
    </r>
    <r>
      <rPr>
        <sz val="11"/>
        <color theme="1"/>
        <rFont val="Calibri"/>
        <family val="2"/>
      </rPr>
      <t xml:space="preserve">. Se rige por las disposiciones legales contenidas en la Ley Nº 5810 de Mercados de Capitales y todas las demás disposiciones legales y reglamentarias del país. </t>
    </r>
  </si>
  <si>
    <t>Inicialmente la Sociedad se constituyó bajo la denominación Bolpar S.A. Casa de Bolsa creada el 26 de noviembre de 1990 por Escritura Pública Nº 96 pasada ante el Escribano Público Juan José Benítez Rickman, aprobado el estatuto por Decreto del Poder Ejecutivo Nº 9874 de fecha 13 de junio de 1991 e inscripta en el Registro Público de Comercio bajo en Nº 344, folio 1898 y siguientes en fecha 22 de julio de 1991. Fue dispuesta su inscripción en el Registro de Casas de Bolsa el 9 de noviembre de 1992, prevista en el artículo Nº 85, inciso 4 de la Ley Nº 94/91.</t>
  </si>
  <si>
    <t xml:space="preserve">No aplicable. </t>
  </si>
  <si>
    <r>
      <t>Principales políticas y prácticas contables aplicadas</t>
    </r>
    <r>
      <rPr>
        <b/>
        <sz val="11"/>
        <color theme="1"/>
        <rFont val="Calibri"/>
        <family val="2"/>
      </rPr>
      <t>.</t>
    </r>
  </si>
  <si>
    <t xml:space="preserve">3.2            El criterio de valuación utilizado para los diferentes bienes del Activo de la Firma ha sido el costo histórico sin tener en cuenta el efecto de las variaciones en el poder adquisitivo de la moneda local, que pudieran tener sobre los activos no monetarios que la componen, ya que el ajuste por inflación no es práctica contable aceptada en el Paraguay, excepto por el ajuste realizado hasta el Ejercicio 1998 sobre el valor de las acciones de la Bolsa de Valores según Resolución Nº 75/94 de la Comisión Nacional de Valores y los bienes de uso, que se actualizan de acuerdo a lo indicado en los puntos 2.b, 2c siguientes. Los Estados Contables no reconocen en forma integral los efectos de la inflación sobre los valores tomados en conjunto. </t>
  </si>
  <si>
    <r>
      <t>3.3.</t>
    </r>
    <r>
      <rPr>
        <sz val="7"/>
        <color theme="1"/>
        <rFont val="Times New Roman"/>
        <family val="1"/>
      </rPr>
      <t xml:space="preserve">             </t>
    </r>
    <r>
      <rPr>
        <sz val="11"/>
        <color theme="1"/>
        <rFont val="Calibri"/>
        <family val="2"/>
      </rPr>
      <t>Política de constitución de previsiones: Hasta el momento no se han establecido criterios para el tratamiento de las cuentas incobrables.</t>
    </r>
  </si>
  <si>
    <r>
      <t>3.4.</t>
    </r>
    <r>
      <rPr>
        <sz val="7"/>
        <color theme="1"/>
        <rFont val="Times New Roman"/>
        <family val="1"/>
      </rPr>
      <t xml:space="preserve">             </t>
    </r>
    <r>
      <rPr>
        <sz val="11"/>
        <color theme="1"/>
        <rFont val="Calibri"/>
        <family val="2"/>
      </rPr>
      <t>Política de reconocimiento de ingresos: Se ha utilizado para este efecto el criterio de devengado, lo mismo para los egresos.</t>
    </r>
  </si>
  <si>
    <r>
      <t>Cambio de Políticas y Procedimientos de Contabilidad</t>
    </r>
    <r>
      <rPr>
        <b/>
        <sz val="11"/>
        <color theme="1"/>
        <rFont val="Calibri"/>
        <family val="2"/>
      </rPr>
      <t>.</t>
    </r>
  </si>
  <si>
    <t>80009706-8</t>
  </si>
  <si>
    <t>Tte. Nuñez 295 entre El Dorado y Tte. Ricardo Cocco</t>
  </si>
  <si>
    <t>021-201.255</t>
  </si>
  <si>
    <t>info@capitalmarkets.com.py</t>
  </si>
  <si>
    <t xml:space="preserve"> www.capitalmarkets.com.py</t>
  </si>
  <si>
    <t xml:space="preserve">Daniel Andrés Moreno Bogarín </t>
  </si>
  <si>
    <t>Rodney Russell Banks Magnani</t>
  </si>
  <si>
    <t>Rómulo Chang Ming Yuan</t>
  </si>
  <si>
    <t>Director Titular</t>
  </si>
  <si>
    <t>Director Suplente</t>
  </si>
  <si>
    <t>Matias Andrés Moreno Pérez</t>
  </si>
  <si>
    <t>Javier Eduardo Benitez Pereira</t>
  </si>
  <si>
    <t>Sindico Suplente</t>
  </si>
  <si>
    <t>Juan Manuel Romero</t>
  </si>
  <si>
    <t xml:space="preserve">MODIFICACIÓN DE ESTATUTO SOCIAL. Por Escritura Publica N. 57 (cincuenta y siete) del 16-10-2006 ante el Esc. Ana Maria Zubizarreta, titular del Reg. 896, se trascribió Acta de Asamblea Extraordinaria de BOLPAR CASA DE BOLSA S.A. de fecha 29-04-2006: Cambio de Denominación Social a  CAPITAL MARKETS CASA DE BOLSA SOCIEDAD ANONIMA, Inscripta en la Dirección Gral. de los Reg. Públicos. Dir. de Pers. Jur. y Asoc., matricula Jurídica N. 1986, serie Comercial, bajo el N 79, Folio 773 en fecha 15/02/2007, y la Dirección General de los Registros Públicos, Sección Comercial, matricula comercial N. 1986, bajo el Nº 209, folio 2174, en fecha 16/03/2007.    Posteriormente por Escritura Publica N° 90 (noventa) del 16-07-2020, ante el Esc. Luis Alfredo Robles titular del Reg. 721se transcribio el Acta Extraordinaria de Asamblea N° 04 con el objetivo del aumento de capital social </t>
  </si>
  <si>
    <t>Del</t>
  </si>
  <si>
    <t>Al</t>
  </si>
  <si>
    <t>Alberto Acosta</t>
  </si>
  <si>
    <t>II</t>
  </si>
  <si>
    <t>XI</t>
  </si>
  <si>
    <t>LI</t>
  </si>
  <si>
    <t>I</t>
  </si>
  <si>
    <t>XXI</t>
  </si>
  <si>
    <t>Eleonora Scavone</t>
  </si>
  <si>
    <t>X</t>
  </si>
  <si>
    <t>XVIII</t>
  </si>
  <si>
    <t>XXIX</t>
  </si>
  <si>
    <t>XIII</t>
  </si>
  <si>
    <t>XIV</t>
  </si>
  <si>
    <t>Elizabeth Yegros</t>
  </si>
  <si>
    <t>IV</t>
  </si>
  <si>
    <t>VII</t>
  </si>
  <si>
    <t>XXIV</t>
  </si>
  <si>
    <t>Claudia Roa</t>
  </si>
  <si>
    <t>Emerging MC</t>
  </si>
  <si>
    <t>III</t>
  </si>
  <si>
    <t>VIII</t>
  </si>
  <si>
    <t>XXXVII</t>
  </si>
  <si>
    <t>XXXXVI</t>
  </si>
  <si>
    <t>XXV</t>
  </si>
  <si>
    <t>IX</t>
  </si>
  <si>
    <t>V</t>
  </si>
  <si>
    <t>VI</t>
  </si>
  <si>
    <t>XXVI</t>
  </si>
  <si>
    <t>XXVII</t>
  </si>
  <si>
    <t>XXVIII</t>
  </si>
  <si>
    <t>XXX</t>
  </si>
  <si>
    <t>XXXI</t>
  </si>
  <si>
    <t>XXXII</t>
  </si>
  <si>
    <t>XII</t>
  </si>
  <si>
    <t>XXXIX</t>
  </si>
  <si>
    <t>XXXXII</t>
  </si>
  <si>
    <t>XXXXIII</t>
  </si>
  <si>
    <t>XXXXIX</t>
  </si>
  <si>
    <t>XXXXVII</t>
  </si>
  <si>
    <t>XXXXVIII</t>
  </si>
  <si>
    <t>L</t>
  </si>
  <si>
    <t>LII</t>
  </si>
  <si>
    <t>XV</t>
  </si>
  <si>
    <t>XVI</t>
  </si>
  <si>
    <t>XVII</t>
  </si>
  <si>
    <t>XIX</t>
  </si>
  <si>
    <t>XX</t>
  </si>
  <si>
    <t>XXII</t>
  </si>
  <si>
    <t>XXIII</t>
  </si>
  <si>
    <t>XXXX</t>
  </si>
  <si>
    <t>XXXXI</t>
  </si>
  <si>
    <t>Hernán Velilla</t>
  </si>
  <si>
    <t>XXXVIII</t>
  </si>
  <si>
    <t>Jorge Denis</t>
  </si>
  <si>
    <t>XXXIV</t>
  </si>
  <si>
    <t>XXXVI</t>
  </si>
  <si>
    <t>Juan M. Peña</t>
  </si>
  <si>
    <t>Quantum Fund</t>
  </si>
  <si>
    <t>XXXV</t>
  </si>
  <si>
    <t>Sergio Britos</t>
  </si>
  <si>
    <t>SSBank</t>
  </si>
  <si>
    <t>XXXXIV</t>
  </si>
  <si>
    <t>XXXXV</t>
  </si>
  <si>
    <t>Cheng Fang Hsiao</t>
  </si>
  <si>
    <t>Carlos Martin Santiago Storm Garcete</t>
  </si>
  <si>
    <t>Jorge Alberto Storm Garcete</t>
  </si>
  <si>
    <t>Celeste Huergo Vietto</t>
  </si>
  <si>
    <t>Daniel Moreno</t>
  </si>
  <si>
    <t>Rodney Russell Banks</t>
  </si>
  <si>
    <t xml:space="preserve">* Articulo N° 5 del Estatuto Social: El capital social se fija en la cantidad de Guaraníes seis mil quinientos millones (G.6.500.000.000), distribuido en treinta y cinco mil (35.000) acciones ordinarias, nominativas endosables, de valor nominal de Guaraníes cien mil (G. 100.000) cada una. distribuidas en 50 series de 200 acciones cada una, 5 series de 5000 acciones, caracterizada por numeros romanos para las series y dentro de las mismas arabigos para las acciones y Treinta mil (30,000) acciones preferidas nominaticas  endosables </t>
  </si>
  <si>
    <t>Ordinarias Nominativas</t>
  </si>
  <si>
    <t>Preferidas Nominativas</t>
  </si>
  <si>
    <t>Porcentaje</t>
  </si>
  <si>
    <t>Bancop Cta. Corrientes USD 0410142603</t>
  </si>
  <si>
    <t>El Comercio Cta. Ahorro USD.</t>
  </si>
  <si>
    <t>Bancop Caja de Ahorro JS USD 0410165042</t>
  </si>
  <si>
    <t>Inversiones En Bonos Usd Cp</t>
  </si>
  <si>
    <t>s/ Cuentas pasivas</t>
  </si>
  <si>
    <t>Bancop Cta.Cte.GS 0410015970</t>
  </si>
  <si>
    <t>Bancop Cta. Propia CMCB GS 0410145254</t>
  </si>
  <si>
    <t>El Comercio Cta. Ahorro Guaraníes</t>
  </si>
  <si>
    <t>Tu Financiera Ahorro Gs.</t>
  </si>
  <si>
    <t>Bancop Caja de Ahorro HCHW GS 0410168122</t>
  </si>
  <si>
    <t>Bancop Caja de Ahorro CH GS 0410168114</t>
  </si>
  <si>
    <t>TRANSFERENCIAS PENDIENTES DE CLEARING</t>
  </si>
  <si>
    <t>Bancop Caja de Ahorro CHFC GS 0410165034</t>
  </si>
  <si>
    <t>Intereses a Vencer</t>
  </si>
  <si>
    <r>
      <t>b-</t>
    </r>
    <r>
      <rPr>
        <b/>
        <sz val="10"/>
        <color indexed="8"/>
        <rFont val="Arial Nova"/>
        <family val="2"/>
      </rPr>
      <t>      Otros Activos No Corrientes</t>
    </r>
  </si>
  <si>
    <t>Otros Activos no Corrientes(Nota 5. j)</t>
  </si>
  <si>
    <t>Deudores En Gestión De Cobro – Morosos O Similares</t>
  </si>
  <si>
    <t>Bancop S.A.</t>
  </si>
  <si>
    <t>Zusa SACI</t>
  </si>
  <si>
    <t>Venecia SA</t>
  </si>
  <si>
    <t>Copaco SA</t>
  </si>
  <si>
    <t>Distribuidora El Arte</t>
  </si>
  <si>
    <t>Juan Carlos Busto</t>
  </si>
  <si>
    <t>Lux Professional SA</t>
  </si>
  <si>
    <t>AMX Paraguay SA</t>
  </si>
  <si>
    <t>Telefonía Celular del Paraguay</t>
  </si>
  <si>
    <t>Escribania Maria Idelina Villalba</t>
  </si>
  <si>
    <t>Varios</t>
  </si>
  <si>
    <t>Rodney Banks</t>
  </si>
  <si>
    <t>CYCE</t>
  </si>
  <si>
    <t>Accion Bvpasa</t>
  </si>
  <si>
    <t>Otros Pasivos Corrientes</t>
  </si>
  <si>
    <t>Ctas. Ctes. de Clientes por compra-venta de valores</t>
  </si>
  <si>
    <t>Responsabilidad por Administración de Cartera</t>
  </si>
  <si>
    <t>Dividendos a Pagar</t>
  </si>
  <si>
    <t xml:space="preserve">Otros Gastos Operativos  </t>
  </si>
  <si>
    <t>GANANCIAS POR VALUACIÓN DE ACTIVOS MONETARIOS EN MONEDA EXTRANJERA</t>
  </si>
  <si>
    <t>PÉRDIDAS POR VALUACIÓN DE ACTIVOS MONETARIOS EN MONEDA EXTRANJERA</t>
  </si>
  <si>
    <t>s/ Movimientos a informar</t>
  </si>
  <si>
    <t>-           Eleonora Scavone</t>
  </si>
  <si>
    <t>-           Quantum Fund</t>
  </si>
  <si>
    <t>-           SSBank</t>
  </si>
  <si>
    <t>-           Sergio Britos</t>
  </si>
  <si>
    <t>-           Emerging MC</t>
  </si>
  <si>
    <t>-           Juan M. Peña</t>
  </si>
  <si>
    <t>-           Hernán Velilla</t>
  </si>
  <si>
    <t>-           Elizabeth Yegros</t>
  </si>
  <si>
    <t>-           Alberto Acosta</t>
  </si>
  <si>
    <t>Acreedores Varios Vinculados (Nota 5. o)</t>
  </si>
  <si>
    <t>Ingresos Varios</t>
  </si>
  <si>
    <t>Dividendos Cobrados</t>
  </si>
  <si>
    <t>Comisiones Cobradas</t>
  </si>
  <si>
    <t>Preaviso</t>
  </si>
  <si>
    <t>Préstamo Bancop SA</t>
  </si>
  <si>
    <t xml:space="preserve">Préstamos </t>
  </si>
  <si>
    <t>-           Jorge Storm</t>
  </si>
  <si>
    <t>Bancop</t>
  </si>
  <si>
    <t>Descuentos Concedidos</t>
  </si>
  <si>
    <t>Dividendos Pagados</t>
  </si>
  <si>
    <t>Activos Intangibles</t>
  </si>
  <si>
    <t xml:space="preserve"> ACTIVO no CORRIENTE</t>
  </si>
  <si>
    <t xml:space="preserve">Fondos Mutuos - Administradora de Fondos S.A. Gs    </t>
  </si>
  <si>
    <t>Fondos Mutuos - Administradora de Fondos S.A. U$</t>
  </si>
  <si>
    <t xml:space="preserve">Inversiones Permanentes </t>
  </si>
  <si>
    <t>Acción de la Bolsa de Valores (Nota 5.e)</t>
  </si>
  <si>
    <r>
      <t xml:space="preserve">Otros Activos </t>
    </r>
    <r>
      <rPr>
        <sz val="9"/>
        <color theme="1"/>
        <rFont val="Arial"/>
        <family val="2"/>
      </rPr>
      <t>(Nota 5. j)</t>
    </r>
  </si>
  <si>
    <t>PASIVO NO CORRIENTE</t>
  </si>
  <si>
    <t>Deudas Financieras</t>
  </si>
  <si>
    <t>BVPASA Accion</t>
  </si>
  <si>
    <t>Aporte de Capital</t>
  </si>
  <si>
    <t>Transferencia a Resultados Acumulados</t>
  </si>
  <si>
    <t>Valuación de la Acción BVPASA</t>
  </si>
  <si>
    <r>
      <t>Capital Markets Casa de Bolsa S.A</t>
    </r>
    <r>
      <rPr>
        <sz val="9"/>
        <color theme="1"/>
        <rFont val="Arial"/>
        <family val="2"/>
      </rPr>
      <t xml:space="preserve">. Se rige por las disposiciones legales contenidas en la Ley Nº 5810 de Mercados de Capitales y todas las demás disposiciones legales y reglamentarias del país. </t>
    </r>
  </si>
  <si>
    <t>Bienes de Uso (Nota 5. g)</t>
  </si>
  <si>
    <t>Prima de Emisión</t>
  </si>
  <si>
    <t>Activos Intangibles y Cargos Diferidos (Nota 5.i)</t>
  </si>
  <si>
    <t>Pasivo Corriente</t>
  </si>
  <si>
    <t>Deudores en Gestion de cobro</t>
  </si>
  <si>
    <r>
      <t>c-</t>
    </r>
    <r>
      <rPr>
        <b/>
        <sz val="10"/>
        <color indexed="8"/>
        <rFont val="Arial Nova"/>
        <family val="2"/>
      </rPr>
      <t xml:space="preserve">      Deudores por Intermediación </t>
    </r>
    <r>
      <rPr>
        <sz val="10"/>
        <color indexed="8"/>
        <rFont val="Arial Nova"/>
        <family val="2"/>
      </rPr>
      <t xml:space="preserve"> </t>
    </r>
  </si>
  <si>
    <t>Christian Jose Ricciardi Blasco</t>
  </si>
  <si>
    <t>Municipalidad de Villarrica</t>
  </si>
  <si>
    <t>122/07</t>
  </si>
  <si>
    <t xml:space="preserve">La acción que Capital Markets Casa de Bolsa S.A., posee en la Bolsa de Valores y Productos de Asunción Sociedad Anónima (BVPASA) al 31 de diciembre de 2021 se encuentra valuada al último valor negociado en el Mercado. </t>
  </si>
  <si>
    <t>r.1)  Saldos con personas u empresas relacionadas</t>
  </si>
  <si>
    <t>PARTE RELACIONADA</t>
  </si>
  <si>
    <t>RELACION</t>
  </si>
  <si>
    <t>r.2)  Transacciones con personas u empresas relacionadas</t>
  </si>
  <si>
    <t>Ingresos</t>
  </si>
  <si>
    <t>Comisiones por operaciones</t>
  </si>
  <si>
    <t>Vice- Presidente</t>
  </si>
  <si>
    <t>Egresos</t>
  </si>
  <si>
    <t>Remuneracion Personal Superior</t>
  </si>
  <si>
    <t xml:space="preserve">CH </t>
  </si>
  <si>
    <t>CFH</t>
  </si>
  <si>
    <t>JS</t>
  </si>
  <si>
    <t>HCW</t>
  </si>
  <si>
    <t>Agroganadera 43 S.A.</t>
  </si>
  <si>
    <t>BANCO GNB PARAGUAY S.A.</t>
  </si>
  <si>
    <t>Cidesa</t>
  </si>
  <si>
    <t>Katuete SRL</t>
  </si>
  <si>
    <t>SUDAMERIS BANK SAECA</t>
  </si>
  <si>
    <t>SUNDIN STEINAR BENGT</t>
  </si>
  <si>
    <t>TAPE PORA S.A.</t>
  </si>
  <si>
    <t>Vision Banco SAECA</t>
  </si>
  <si>
    <t>Sueldos y jornales</t>
  </si>
  <si>
    <t>ANDE</t>
  </si>
  <si>
    <t>Fernando Villamayor</t>
  </si>
  <si>
    <t>Nucleo</t>
  </si>
  <si>
    <t>Todobrillo</t>
  </si>
  <si>
    <t>Bancop Cuenta Clearing USD</t>
  </si>
  <si>
    <t>Bancop Cta. Clearing Gs.</t>
  </si>
  <si>
    <t>No se registran cambios en cuenta a criterios contables con respecto al ejercicio anterior cerrado</t>
  </si>
  <si>
    <t>Bvpasa / Adelanto de Arancel</t>
  </si>
  <si>
    <t>Anticipo de Clientes</t>
  </si>
  <si>
    <t>Tarjeta Empresarial</t>
  </si>
  <si>
    <t>Servicio SEN / BVA</t>
  </si>
  <si>
    <t>Utilidad/Pérdida En Venta De Inversiones</t>
  </si>
  <si>
    <t>Iva Costo</t>
  </si>
  <si>
    <t>Otros Ingresos Financieros</t>
  </si>
  <si>
    <t xml:space="preserve"> Ueno Caja de Ahorro USD.</t>
  </si>
  <si>
    <t>Ueno Caja de  Ahorro Guaraníes</t>
  </si>
  <si>
    <t>Ueno Caja de Ahorro USD.</t>
  </si>
  <si>
    <t>Otros deudores</t>
  </si>
  <si>
    <t>DLS TECHNOLOGY S.A</t>
  </si>
  <si>
    <t>Otros Activos Corrientes</t>
  </si>
  <si>
    <t>Comisiones Pagadas sobre Ventas</t>
  </si>
  <si>
    <t>Cefisa Cta. de ahorro Gs.</t>
  </si>
  <si>
    <t>Alicia Mercedes Gonzalez Villalba</t>
  </si>
  <si>
    <t>Angelica Ines Aya</t>
  </si>
  <si>
    <t>Burkhard Tristan Heydrich</t>
  </si>
  <si>
    <t>Cesar Ariel Chansin</t>
  </si>
  <si>
    <t>Hilda Marina Velasquez Franco</t>
  </si>
  <si>
    <t>Julio Cesar Cristaldo</t>
  </si>
  <si>
    <t>Lizza Viviana Acuña</t>
  </si>
  <si>
    <t>Luis Duran Downing</t>
  </si>
  <si>
    <t xml:space="preserve">Nuria Lezcano </t>
  </si>
  <si>
    <t>Oscar Milciades Urbieta Acosta</t>
  </si>
  <si>
    <t>Wilson David Franco Zelaya</t>
  </si>
  <si>
    <t>Itau Invest Casa de Bolsa S.A.</t>
  </si>
  <si>
    <t>Salarios a Pagar</t>
  </si>
  <si>
    <t>vicepresidente</t>
  </si>
  <si>
    <t>Comisiones s/ Ventas</t>
  </si>
  <si>
    <t>Registro de Administración de Cartera</t>
  </si>
  <si>
    <t>Deudores por Operaciones</t>
  </si>
  <si>
    <t>Servicios Financieros</t>
  </si>
  <si>
    <t>GNB - Clearing Gs</t>
  </si>
  <si>
    <t>GNB - Clearing USD</t>
  </si>
  <si>
    <t>Recupero de Gastos BVA</t>
  </si>
  <si>
    <t>Documentos a cobrar – Funcionarios</t>
  </si>
  <si>
    <t>Documentos a cobrar – Dividendos</t>
  </si>
  <si>
    <t>Akihiko Kataoka Shimizu</t>
  </si>
  <si>
    <t>Ana Graciela Mejia Servellon</t>
  </si>
  <si>
    <t>ARTAZA HERMANOS COMERCIAL E INDUSTRIAL SA</t>
  </si>
  <si>
    <t>BANCO REGIONAL SAECA</t>
  </si>
  <si>
    <t>CLOSER E.A.S UNIPERSONAL</t>
  </si>
  <si>
    <t>DATA SYSTEMS SA EMISORA DE CAPITAL ABIERTO</t>
  </si>
  <si>
    <t>Luis Alfredo Robles</t>
  </si>
  <si>
    <t>PAMAQ S.A.</t>
  </si>
  <si>
    <t>PCG Auditores - Consultores</t>
  </si>
  <si>
    <t>Fernando Javier Villamayor Bogarin</t>
  </si>
  <si>
    <t>80020816-1</t>
  </si>
  <si>
    <t>Yegros N° 3144</t>
  </si>
  <si>
    <t>(021) 203 965</t>
  </si>
  <si>
    <t>1186/09</t>
  </si>
  <si>
    <t>Inversiones En Cda Usd</t>
  </si>
  <si>
    <t>Finexpar Ahorro Gs.</t>
  </si>
  <si>
    <t>Asu Capital Casa de Bolsa SA</t>
  </si>
  <si>
    <t>SUDAMERIS SECURITIES CASA DE BOLSA S.A.</t>
  </si>
  <si>
    <t>Claudia Marcela Roa</t>
  </si>
  <si>
    <t>Esencia News</t>
  </si>
  <si>
    <t>LOPEZ ZARACHO ALBERTO GABRIEL</t>
  </si>
  <si>
    <t>Open Technologies S.A</t>
  </si>
  <si>
    <t>Numero</t>
  </si>
  <si>
    <t>Accionista</t>
  </si>
  <si>
    <t>Serie</t>
  </si>
  <si>
    <t>Titulo N°</t>
  </si>
  <si>
    <t>Clase</t>
  </si>
  <si>
    <t>Cantidad de acciones</t>
  </si>
  <si>
    <t>Cantidad de votos</t>
  </si>
  <si>
    <t>Total</t>
  </si>
  <si>
    <t>XXXIII</t>
  </si>
  <si>
    <t xml:space="preserve">XXXVI </t>
  </si>
  <si>
    <t>LIII</t>
  </si>
  <si>
    <t>Romulo Yuan</t>
  </si>
  <si>
    <t>Wu Ming Chi</t>
  </si>
  <si>
    <t>Gabriela Cabral</t>
  </si>
  <si>
    <t>Preferida</t>
  </si>
  <si>
    <t>Ceidor S.R.L</t>
  </si>
  <si>
    <t>Cristian Maximiliano Romero Muller</t>
  </si>
  <si>
    <t>TOTAL GENERAL</t>
  </si>
  <si>
    <t>Distribución de Acciones</t>
  </si>
  <si>
    <t>Intereses a Cobrar Usd</t>
  </si>
  <si>
    <t>Fondos Mutuos Usd</t>
  </si>
  <si>
    <t>Puente AFIPSA</t>
  </si>
  <si>
    <t>Administracion de Cartera / Inversiones</t>
  </si>
  <si>
    <t>Colocacion de Acciones</t>
  </si>
  <si>
    <t>Impuestos, Patentes y Tasas</t>
  </si>
  <si>
    <t>3.1.             Los Estados Financieros al 31/03/2024, han sido preparados de acuerdo de acuerdo con Normas de Información Financiera emitidas por el Consejo de Contadores Públicos del Paraguay y
criterios de valuación y exposición dictados por la Comisión Nacional de Valores.</t>
  </si>
  <si>
    <t>BALANCE GENERAL al 31/03/2024 presentado en forma comparativa con el ejercicio anterior cerrado el 31/12/2023.  (En guaraníes)</t>
  </si>
  <si>
    <t>Información al 31 /03 /2024</t>
  </si>
  <si>
    <t>ESTADO DE RESULTADOS CORRESPONDIENTE AL 31/03/2024 PRESENTADO EN FORMA COMPARATIVA CON EL 31/03/2023. (En guaraníes)</t>
  </si>
  <si>
    <t>CORRESPONDIENTE AL 31/03/2024 PRESENTADO EN FORMA COMPARATIVA CON EL PERIODO AL 31/03/2023</t>
  </si>
  <si>
    <t>CORRESPONDIENTE AL 31-12-2024 PRESENTADO EN FORMA COMPARATIVA CON EL PERIODO AL 31-12-2023</t>
  </si>
  <si>
    <t xml:space="preserve">Los presentes Estados Financieros (Balance General, Estado de Resultados, Estado de Flujo de Efectivo y Estado de Variación del Patrimonio Neto) correspondientes al 31 de Marzo  de 2024 se considerado y aprobado por la reunion de directorio N° </t>
  </si>
  <si>
    <t>Recuadaciones a Depositar</t>
  </si>
  <si>
    <t>Aseguradora Paraguaya SAECA</t>
  </si>
  <si>
    <t>Carlos Eugenio Sauer Ayala</t>
  </si>
  <si>
    <t>ELECTROBAN SAECA</t>
  </si>
  <si>
    <t>FIC SA DE FINANZAS</t>
  </si>
  <si>
    <t>Hector Hugo Benitez Sanchez</t>
  </si>
  <si>
    <t>INVESTIGACIONES AGROPECUARIAS PARAGUAY SA (IAPP)</t>
  </si>
  <si>
    <t>Jorgelina Viviana Van Cayzeele Ojeda</t>
  </si>
  <si>
    <t>Matias Ortigoza</t>
  </si>
  <si>
    <t>ONE ASSET CASA DE BOLSA SA</t>
  </si>
  <si>
    <t>Pablo Enzo Protti</t>
  </si>
  <si>
    <t>Ramy Hussein Teijen</t>
  </si>
  <si>
    <t>Sergio Perez</t>
  </si>
  <si>
    <t>Susana Colman</t>
  </si>
  <si>
    <t>Seguros a Devengar Edificios</t>
  </si>
  <si>
    <t>Seguros a Devengar CBSA</t>
  </si>
  <si>
    <t>La Agrícola S.A. de Seguros Generales</t>
  </si>
  <si>
    <t>Gisele María Filártiga Mousqués</t>
  </si>
  <si>
    <t>Compusaver SA</t>
  </si>
  <si>
    <t>Juan Manuel Acevedo</t>
  </si>
  <si>
    <t>Fernando Javier Villamayor Bogarín</t>
  </si>
  <si>
    <t>Servicios de seguridad informática</t>
  </si>
  <si>
    <t>Aranceles - BVPASA a Vencer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</si>
</sst>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64" formatCode="_-* #,##0.00_-;\-* #,##0.00_-;_-* &quot;-&quot;??_-;_-@_-"/>
    <numFmt numFmtId="165" formatCode="_-* #,##0_-;\-* #,##0_-;_-* &quot;-&quot;??_-;_-@_-"/>
    <numFmt numFmtId="166" formatCode="_(* #,##0.00_);_(* \(#,##0.00\);_(* \-??_);_(@_)"/>
    <numFmt numFmtId="167" formatCode="_-* #,##0.00\ _€_-;\-* #,##0.00\ _€_-;_-* &quot;-&quot;??\ _€_-;_-@_-"/>
    <numFmt numFmtId="168" formatCode="&quot;₲&quot;\ #,##0"/>
    <numFmt numFmtId="169" formatCode="dd/mm/yyyy;@"/>
    <numFmt numFmtId="170" formatCode="_-* #,##0\ _€_-;\-* #,##0\ _€_-;_-* &quot;-&quot;??\ _€_-;_-@_-"/>
  </numFmts>
  <fonts count="107">
    <font>
      <sz val="11"/>
      <color theme="1"/>
      <name val="Calibri"/>
      <family val="2"/>
      <scheme val="minor"/>
    </font>
    <font>
      <b/>
      <sz val="9"/>
      <color indexed="8"/>
      <name val="Arial"/>
      <family val="2"/>
    </font>
    <font>
      <sz val="9"/>
      <color indexed="8"/>
      <name val="Arial"/>
      <family val="2"/>
    </font>
    <font>
      <b/>
      <sz val="9"/>
      <name val="Arial"/>
      <family val="2"/>
    </font>
    <font>
      <b/>
      <sz val="10"/>
      <color indexed="8"/>
      <name val="Calibri"/>
      <family val="2"/>
    </font>
    <font>
      <sz val="10"/>
      <color indexed="8"/>
      <name val="Calibri"/>
      <family val="2"/>
    </font>
    <font>
      <b/>
      <sz val="7"/>
      <color indexed="8"/>
      <name val="Times New Roman"/>
      <family val="1"/>
    </font>
    <font>
      <sz val="9"/>
      <name val="Arial"/>
      <family val="2"/>
    </font>
    <font>
      <sz val="10"/>
      <name val="Arial"/>
      <family val="2"/>
    </font>
    <font>
      <sz val="10"/>
      <name val="Calibri"/>
      <family val="2"/>
    </font>
    <font>
      <sz val="11"/>
      <name val="Calibri"/>
      <family val="2"/>
    </font>
    <font>
      <sz val="9"/>
      <name val="Calibri"/>
      <family val="2"/>
    </font>
    <font>
      <b/>
      <u/>
      <sz val="9"/>
      <name val="Calibri"/>
      <family val="2"/>
    </font>
    <font>
      <sz val="11"/>
      <color indexed="8"/>
      <name val="Calibri"/>
      <family val="2"/>
      <charset val="1"/>
    </font>
    <font>
      <sz val="11"/>
      <color theme="1"/>
      <name val="Calibri"/>
      <family val="2"/>
      <scheme val="minor"/>
    </font>
    <font>
      <b/>
      <sz val="11"/>
      <color theme="1"/>
      <name val="Calibri"/>
      <family val="2"/>
      <scheme val="minor"/>
    </font>
    <font>
      <sz val="9"/>
      <color theme="1"/>
      <name val="Calibri"/>
      <family val="2"/>
    </font>
    <font>
      <sz val="10"/>
      <color theme="1"/>
      <name val="Times New Roman"/>
      <family val="1"/>
    </font>
    <font>
      <sz val="8"/>
      <color theme="1"/>
      <name val="Calibri"/>
      <family val="2"/>
    </font>
    <font>
      <b/>
      <sz val="7"/>
      <color theme="1"/>
      <name val="Arial"/>
      <family val="2"/>
    </font>
    <font>
      <b/>
      <sz val="9"/>
      <color theme="1"/>
      <name val="Arial"/>
      <family val="2"/>
    </font>
    <font>
      <sz val="9"/>
      <color theme="1"/>
      <name val="Arial"/>
      <family val="2"/>
    </font>
    <font>
      <sz val="9"/>
      <color theme="1"/>
      <name val="Calibri"/>
      <family val="2"/>
      <scheme val="minor"/>
    </font>
    <font>
      <sz val="12"/>
      <color theme="1"/>
      <name val="Calibri"/>
      <family val="2"/>
      <scheme val="minor"/>
    </font>
    <font>
      <b/>
      <sz val="11"/>
      <color theme="1"/>
      <name val="Calibri"/>
      <family val="2"/>
    </font>
    <font>
      <b/>
      <u/>
      <sz val="11"/>
      <color theme="1"/>
      <name val="Calibri"/>
      <family val="2"/>
    </font>
    <font>
      <sz val="11"/>
      <color theme="1"/>
      <name val="Calibri"/>
      <family val="2"/>
    </font>
    <font>
      <sz val="8"/>
      <color rgb="FF000000"/>
      <name val="Calibri"/>
      <family val="2"/>
    </font>
    <font>
      <b/>
      <sz val="10"/>
      <color theme="1"/>
      <name val="Calibri"/>
      <family val="2"/>
    </font>
    <font>
      <sz val="12"/>
      <color theme="1"/>
      <name val="Calibri"/>
      <family val="2"/>
    </font>
    <font>
      <b/>
      <sz val="12"/>
      <color theme="1"/>
      <name val="Calibri"/>
      <family val="2"/>
    </font>
    <font>
      <sz val="10"/>
      <color theme="1"/>
      <name val="Calibri"/>
      <family val="2"/>
    </font>
    <font>
      <b/>
      <sz val="10"/>
      <color rgb="FF000000"/>
      <name val="Calibri"/>
      <family val="2"/>
    </font>
    <font>
      <b/>
      <i/>
      <sz val="10"/>
      <color theme="1"/>
      <name val="Calibri"/>
      <family val="2"/>
    </font>
    <font>
      <sz val="10"/>
      <color rgb="FFFF0000"/>
      <name val="Calibri"/>
      <family val="2"/>
      <scheme val="minor"/>
    </font>
    <font>
      <sz val="10"/>
      <color theme="1"/>
      <name val="Calibri"/>
      <family val="2"/>
      <scheme val="minor"/>
    </font>
    <font>
      <sz val="11"/>
      <name val="Calibri"/>
      <family val="2"/>
      <scheme val="minor"/>
    </font>
    <font>
      <sz val="9"/>
      <name val="Calibri"/>
      <family val="2"/>
      <scheme val="minor"/>
    </font>
    <font>
      <b/>
      <u/>
      <sz val="9"/>
      <color theme="1"/>
      <name val="Calibri"/>
      <family val="2"/>
    </font>
    <font>
      <b/>
      <sz val="11"/>
      <color rgb="FFFF0000"/>
      <name val="Calibri"/>
      <family val="2"/>
      <scheme val="minor"/>
    </font>
    <font>
      <sz val="11"/>
      <color rgb="FFFF0000"/>
      <name val="Calibri"/>
      <family val="2"/>
      <scheme val="minor"/>
    </font>
    <font>
      <sz val="11"/>
      <color theme="0"/>
      <name val="Calibri"/>
      <family val="2"/>
      <scheme val="minor"/>
    </font>
    <font>
      <b/>
      <sz val="8"/>
      <color theme="1"/>
      <name val="Calibri"/>
      <family val="2"/>
    </font>
    <font>
      <sz val="7"/>
      <color theme="1"/>
      <name val="Calibri"/>
      <family val="2"/>
    </font>
    <font>
      <b/>
      <sz val="8"/>
      <color rgb="FF000000"/>
      <name val="Calibri"/>
      <family val="2"/>
    </font>
    <font>
      <sz val="8"/>
      <color theme="1"/>
      <name val="Calibri"/>
      <family val="2"/>
      <scheme val="minor"/>
    </font>
    <font>
      <b/>
      <sz val="11"/>
      <color rgb="FF000000"/>
      <name val="Calibri"/>
      <family val="2"/>
    </font>
    <font>
      <sz val="10"/>
      <color rgb="FF000000"/>
      <name val="Calibri"/>
      <family val="2"/>
    </font>
    <font>
      <i/>
      <sz val="10"/>
      <color rgb="FF000000"/>
      <name val="Calibri"/>
      <family val="2"/>
    </font>
    <font>
      <b/>
      <sz val="9"/>
      <color rgb="FF000000"/>
      <name val="Calibri"/>
      <family val="2"/>
    </font>
    <font>
      <b/>
      <u/>
      <sz val="9"/>
      <color rgb="FF000000"/>
      <name val="Calibri"/>
      <family val="2"/>
    </font>
    <font>
      <sz val="9"/>
      <color rgb="FF000000"/>
      <name val="Calibri"/>
      <family val="2"/>
    </font>
    <font>
      <i/>
      <sz val="9"/>
      <color rgb="FF000000"/>
      <name val="Calibri"/>
      <family val="2"/>
    </font>
    <font>
      <b/>
      <i/>
      <sz val="11"/>
      <color rgb="FF000000"/>
      <name val="Calibri"/>
      <family val="2"/>
      <scheme val="minor"/>
    </font>
    <font>
      <i/>
      <sz val="11"/>
      <color rgb="FF000000"/>
      <name val="Calibri"/>
      <family val="2"/>
      <scheme val="minor"/>
    </font>
    <font>
      <b/>
      <sz val="11"/>
      <color rgb="FF000000"/>
      <name val="Calibri"/>
      <family val="2"/>
      <scheme val="minor"/>
    </font>
    <font>
      <sz val="9"/>
      <color theme="1"/>
      <name val="EYInterstate Light"/>
    </font>
    <font>
      <b/>
      <sz val="9"/>
      <color theme="1"/>
      <name val="Calibri"/>
      <family val="2"/>
      <scheme val="minor"/>
    </font>
    <font>
      <b/>
      <sz val="11"/>
      <color theme="1"/>
      <name val="Arial"/>
      <family val="2"/>
    </font>
    <font>
      <b/>
      <sz val="10"/>
      <name val="Calibri"/>
      <family val="2"/>
    </font>
    <font>
      <b/>
      <sz val="12"/>
      <name val="Calibri"/>
      <family val="2"/>
    </font>
    <font>
      <b/>
      <sz val="11"/>
      <name val="Calibri"/>
      <family val="2"/>
    </font>
    <font>
      <b/>
      <sz val="7"/>
      <name val="Times New Roman"/>
      <family val="1"/>
    </font>
    <font>
      <sz val="11"/>
      <color theme="0"/>
      <name val="Museo Sans 100"/>
      <family val="3"/>
    </font>
    <font>
      <b/>
      <sz val="11"/>
      <color theme="1"/>
      <name val="Museo Sans 100"/>
      <family val="3"/>
    </font>
    <font>
      <b/>
      <sz val="9"/>
      <color theme="1"/>
      <name val="Arial Nova"/>
      <family val="2"/>
    </font>
    <font>
      <sz val="9"/>
      <color theme="1"/>
      <name val="Arial Nova"/>
      <family val="2"/>
    </font>
    <font>
      <sz val="11"/>
      <color theme="1"/>
      <name val="Arial Nova"/>
      <family val="2"/>
    </font>
    <font>
      <b/>
      <sz val="10"/>
      <color theme="1"/>
      <name val="Arial Nova"/>
      <family val="2"/>
    </font>
    <font>
      <b/>
      <sz val="10"/>
      <color indexed="8"/>
      <name val="Arial Nova"/>
      <family val="2"/>
    </font>
    <font>
      <sz val="10"/>
      <color theme="1"/>
      <name val="Arial Nova"/>
      <family val="2"/>
    </font>
    <font>
      <b/>
      <u/>
      <sz val="10"/>
      <color theme="1"/>
      <name val="Arial Nova"/>
      <family val="2"/>
    </font>
    <font>
      <sz val="10"/>
      <color indexed="8"/>
      <name val="Arial Nova"/>
      <family val="2"/>
    </font>
    <font>
      <sz val="10"/>
      <name val="Arial Nova"/>
      <family val="2"/>
    </font>
    <font>
      <b/>
      <sz val="10"/>
      <name val="Arial Nova"/>
      <family val="2"/>
    </font>
    <font>
      <sz val="8"/>
      <color theme="1"/>
      <name val="Arial Nova"/>
      <family val="2"/>
    </font>
    <font>
      <b/>
      <i/>
      <sz val="10"/>
      <color theme="1"/>
      <name val="Arial Nova"/>
      <family val="2"/>
    </font>
    <font>
      <i/>
      <sz val="10"/>
      <color indexed="8"/>
      <name val="Arial Nova"/>
      <family val="2"/>
    </font>
    <font>
      <sz val="7"/>
      <color theme="1"/>
      <name val="Arial Nova"/>
      <family val="2"/>
    </font>
    <font>
      <b/>
      <sz val="8"/>
      <color theme="1"/>
      <name val="Arial Nova"/>
      <family val="2"/>
    </font>
    <font>
      <b/>
      <sz val="16"/>
      <color theme="4"/>
      <name val="Arial Nova"/>
      <family val="2"/>
    </font>
    <font>
      <u/>
      <sz val="14"/>
      <color theme="4"/>
      <name val="Arial Nova"/>
      <family val="2"/>
    </font>
    <font>
      <sz val="11"/>
      <color theme="4"/>
      <name val="Arial Nova"/>
      <family val="2"/>
    </font>
    <font>
      <b/>
      <sz val="11"/>
      <color theme="4"/>
      <name val="Calibri"/>
      <family val="2"/>
      <scheme val="minor"/>
    </font>
    <font>
      <b/>
      <u/>
      <sz val="11"/>
      <color theme="4"/>
      <name val="Calibri"/>
      <family val="2"/>
    </font>
    <font>
      <b/>
      <sz val="11"/>
      <color theme="4"/>
      <name val="Calibri"/>
      <family val="2"/>
    </font>
    <font>
      <b/>
      <u/>
      <sz val="10"/>
      <color theme="4"/>
      <name val="Calibri"/>
      <family val="2"/>
    </font>
    <font>
      <b/>
      <sz val="10"/>
      <color theme="4"/>
      <name val="Calibri"/>
      <family val="2"/>
    </font>
    <font>
      <b/>
      <sz val="12"/>
      <color theme="4"/>
      <name val="Calibri"/>
      <family val="2"/>
    </font>
    <font>
      <sz val="10"/>
      <color theme="4"/>
      <name val="Calibri"/>
      <family val="2"/>
    </font>
    <font>
      <b/>
      <sz val="8"/>
      <color theme="4"/>
      <name val="Calibri"/>
      <family val="2"/>
    </font>
    <font>
      <sz val="7"/>
      <color theme="1"/>
      <name val="Times New Roman"/>
      <family val="1"/>
    </font>
    <font>
      <b/>
      <sz val="9"/>
      <color theme="4"/>
      <name val="Calibri"/>
      <family val="2"/>
    </font>
    <font>
      <b/>
      <sz val="9"/>
      <color theme="4"/>
      <name val="Arial"/>
      <family val="2"/>
    </font>
    <font>
      <b/>
      <sz val="9"/>
      <color theme="4"/>
      <name val="Arial Nova"/>
      <family val="2"/>
    </font>
    <font>
      <sz val="9"/>
      <color theme="4"/>
      <name val="Calibri"/>
      <family val="2"/>
    </font>
    <font>
      <b/>
      <sz val="11"/>
      <color theme="4"/>
      <name val="Arial Nova"/>
      <family val="2"/>
    </font>
    <font>
      <b/>
      <sz val="11"/>
      <name val="Arial Nova"/>
      <family val="2"/>
    </font>
    <font>
      <sz val="9"/>
      <name val="Arial Nova"/>
      <family val="2"/>
    </font>
    <font>
      <b/>
      <sz val="9"/>
      <color rgb="FFFF0000"/>
      <name val="Arial"/>
      <family val="2"/>
    </font>
    <font>
      <sz val="10"/>
      <color rgb="FFFF0000"/>
      <name val="Times New Roman"/>
      <family val="1"/>
    </font>
    <font>
      <sz val="11"/>
      <color rgb="FF000000"/>
      <name val="Calibri"/>
      <family val="2"/>
      <scheme val="minor"/>
    </font>
    <font>
      <b/>
      <sz val="8"/>
      <color theme="4" tint="-0.249977111117893"/>
      <name val="Arial Nova"/>
      <family val="2"/>
    </font>
    <font>
      <b/>
      <sz val="10"/>
      <color theme="4"/>
      <name val="Arial Nova"/>
      <family val="2"/>
    </font>
    <font>
      <sz val="7"/>
      <color theme="1"/>
      <name val="Calibri"/>
      <family val="2"/>
      <scheme val="minor"/>
    </font>
    <font>
      <b/>
      <sz val="7"/>
      <color theme="4" tint="-0.249977111117893"/>
      <name val="Arial Nova"/>
      <family val="2"/>
    </font>
    <font>
      <b/>
      <sz val="10"/>
      <name val="Verdana"/>
      <family val="2"/>
    </font>
  </fonts>
  <fills count="11">
    <fill>
      <patternFill patternType="none"/>
    </fill>
    <fill>
      <patternFill patternType="gray125"/>
    </fill>
    <fill>
      <patternFill patternType="solid">
        <fgColor rgb="FFF2F2F2"/>
        <bgColor indexed="64"/>
      </patternFill>
    </fill>
    <fill>
      <patternFill patternType="gray125">
        <bgColor theme="0" tint="-4.9989318521683403E-2"/>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gray125">
        <bgColor theme="7" tint="0.39997558519241921"/>
      </patternFill>
    </fill>
    <fill>
      <patternFill patternType="solid">
        <fgColor theme="0"/>
        <bgColor indexed="64"/>
      </patternFill>
    </fill>
    <fill>
      <patternFill patternType="solid">
        <fgColor theme="9"/>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rgb="FF000000"/>
      </left>
      <right/>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right/>
      <top style="thin">
        <color rgb="FF000000"/>
      </top>
      <bottom style="thin">
        <color rgb="FF000000"/>
      </bottom>
      <diagonal/>
    </border>
  </borders>
  <cellStyleXfs count="10">
    <xf numFmtId="0" fontId="0" fillId="0" borderId="0"/>
    <xf numFmtId="0" fontId="13" fillId="0" borderId="0"/>
    <xf numFmtId="164" fontId="14" fillId="0" borderId="0" applyFont="0" applyFill="0" applyBorder="0" applyAlignment="0" applyProtection="0"/>
    <xf numFmtId="41" fontId="14" fillId="0" borderId="0" applyFont="0" applyFill="0" applyBorder="0" applyAlignment="0" applyProtection="0"/>
    <xf numFmtId="166" fontId="8" fillId="0" borderId="0" applyFill="0" applyBorder="0" applyAlignment="0" applyProtection="0"/>
    <xf numFmtId="167" fontId="14" fillId="0" borderId="0" applyFont="0" applyFill="0" applyBorder="0" applyAlignment="0" applyProtection="0"/>
    <xf numFmtId="0" fontId="8" fillId="0" borderId="0"/>
    <xf numFmtId="9" fontId="14" fillId="0" borderId="0" applyFont="0" applyFill="0" applyBorder="0" applyAlignment="0" applyProtection="0"/>
    <xf numFmtId="41" fontId="14" fillId="0" borderId="0" applyFont="0" applyFill="0" applyBorder="0" applyAlignment="0" applyProtection="0"/>
    <xf numFmtId="0" fontId="41" fillId="10" borderId="0" applyNumberFormat="0" applyBorder="0" applyAlignment="0" applyProtection="0"/>
  </cellStyleXfs>
  <cellXfs count="492">
    <xf numFmtId="0" fontId="0" fillId="0" borderId="0" xfId="0"/>
    <xf numFmtId="0" fontId="15" fillId="0" borderId="0" xfId="0" applyFont="1"/>
    <xf numFmtId="0" fontId="16" fillId="0" borderId="0" xfId="0" applyFont="1" applyAlignment="1">
      <alignment horizontal="left" vertical="center" indent="5"/>
    </xf>
    <xf numFmtId="0" fontId="17" fillId="0" borderId="0" xfId="0" applyFont="1" applyAlignment="1">
      <alignment vertical="center" wrapText="1"/>
    </xf>
    <xf numFmtId="0" fontId="19" fillId="0" borderId="0" xfId="0" applyFont="1"/>
    <xf numFmtId="0" fontId="19" fillId="0" borderId="0" xfId="0" applyFont="1" applyAlignment="1">
      <alignment horizontal="center"/>
    </xf>
    <xf numFmtId="0" fontId="23" fillId="0" borderId="0" xfId="0" applyFont="1"/>
    <xf numFmtId="0" fontId="25" fillId="0" borderId="0" xfId="0" applyFont="1" applyAlignment="1">
      <alignment horizontal="justify" vertical="center"/>
    </xf>
    <xf numFmtId="0" fontId="26" fillId="0" borderId="0" xfId="0" applyFont="1" applyAlignment="1">
      <alignment horizontal="justify" vertical="center"/>
    </xf>
    <xf numFmtId="0" fontId="27" fillId="0" borderId="0" xfId="0" applyFont="1" applyAlignment="1">
      <alignment horizontal="left" vertical="center" wrapText="1"/>
    </xf>
    <xf numFmtId="4" fontId="18" fillId="0" borderId="0" xfId="0" applyNumberFormat="1" applyFont="1" applyAlignment="1">
      <alignment horizontal="center" vertical="center" wrapText="1"/>
    </xf>
    <xf numFmtId="3" fontId="18" fillId="0" borderId="0" xfId="0" applyNumberFormat="1" applyFont="1" applyAlignment="1">
      <alignment horizontal="center" vertical="center" wrapText="1"/>
    </xf>
    <xf numFmtId="0" fontId="24" fillId="0" borderId="0" xfId="0" applyFont="1" applyAlignment="1">
      <alignment horizontal="right" vertical="center"/>
    </xf>
    <xf numFmtId="3" fontId="0" fillId="0" borderId="0" xfId="0" applyNumberFormat="1"/>
    <xf numFmtId="0" fontId="29" fillId="0" borderId="0" xfId="0" applyFont="1" applyAlignment="1">
      <alignment horizontal="right" vertical="center"/>
    </xf>
    <xf numFmtId="3" fontId="30" fillId="0" borderId="0" xfId="0" applyNumberFormat="1" applyFont="1" applyAlignment="1">
      <alignment horizontal="right" vertical="center"/>
    </xf>
    <xf numFmtId="0" fontId="26" fillId="0" borderId="0" xfId="0" applyFont="1" applyAlignment="1">
      <alignment horizontal="right" vertical="center"/>
    </xf>
    <xf numFmtId="0" fontId="31" fillId="0" borderId="0" xfId="0" applyFont="1" applyAlignment="1">
      <alignment horizontal="right" vertical="center"/>
    </xf>
    <xf numFmtId="0" fontId="28" fillId="0" borderId="0" xfId="0" applyFont="1" applyAlignment="1">
      <alignment horizontal="right" vertical="center"/>
    </xf>
    <xf numFmtId="165" fontId="0" fillId="0" borderId="0" xfId="0" applyNumberFormat="1"/>
    <xf numFmtId="0" fontId="34" fillId="0" borderId="0" xfId="0" applyFont="1"/>
    <xf numFmtId="0" fontId="35" fillId="0" borderId="0" xfId="0" applyFont="1"/>
    <xf numFmtId="165" fontId="35" fillId="0" borderId="0" xfId="2" applyNumberFormat="1" applyFont="1"/>
    <xf numFmtId="164" fontId="31" fillId="0" borderId="0" xfId="2" applyFont="1" applyBorder="1" applyAlignment="1">
      <alignment horizontal="right" vertical="center"/>
    </xf>
    <xf numFmtId="0" fontId="31" fillId="0" borderId="0" xfId="0" applyFont="1" applyAlignment="1">
      <alignment horizontal="right" vertical="center" wrapText="1"/>
    </xf>
    <xf numFmtId="0" fontId="28" fillId="0" borderId="0" xfId="0" applyFont="1" applyAlignment="1">
      <alignment horizontal="right" vertical="center" wrapText="1"/>
    </xf>
    <xf numFmtId="0" fontId="28" fillId="0" borderId="0" xfId="0" applyFont="1" applyAlignment="1">
      <alignment vertical="center"/>
    </xf>
    <xf numFmtId="0" fontId="36" fillId="0" borderId="0" xfId="0" applyFont="1"/>
    <xf numFmtId="3" fontId="36" fillId="0" borderId="0" xfId="0" applyNumberFormat="1" applyFont="1"/>
    <xf numFmtId="0" fontId="12" fillId="0" borderId="1" xfId="0" applyFont="1" applyBorder="1" applyAlignment="1">
      <alignment vertical="center" wrapText="1"/>
    </xf>
    <xf numFmtId="0" fontId="30" fillId="0" borderId="0" xfId="0" applyFont="1" applyAlignment="1">
      <alignment horizontal="center" vertical="center"/>
    </xf>
    <xf numFmtId="0" fontId="33" fillId="0" borderId="0" xfId="0" applyFont="1" applyAlignment="1">
      <alignment horizontal="right" vertical="center"/>
    </xf>
    <xf numFmtId="0" fontId="40" fillId="0" borderId="0" xfId="0" applyFont="1"/>
    <xf numFmtId="3" fontId="35" fillId="0" borderId="0" xfId="0" applyNumberFormat="1" applyFont="1"/>
    <xf numFmtId="0" fontId="41" fillId="0" borderId="0" xfId="0" applyFont="1"/>
    <xf numFmtId="165" fontId="35" fillId="0" borderId="0" xfId="0" applyNumberFormat="1" applyFont="1"/>
    <xf numFmtId="1" fontId="35" fillId="0" borderId="0" xfId="0" applyNumberFormat="1" applyFont="1"/>
    <xf numFmtId="3" fontId="0" fillId="0" borderId="1" xfId="0" applyNumberFormat="1" applyBorder="1"/>
    <xf numFmtId="0" fontId="26" fillId="0" borderId="1" xfId="0" applyFont="1" applyBorder="1" applyAlignment="1">
      <alignment vertical="center"/>
    </xf>
    <xf numFmtId="165" fontId="26" fillId="0" borderId="1" xfId="2" applyNumberFormat="1" applyFont="1" applyFill="1" applyBorder="1" applyAlignment="1">
      <alignment horizontal="right" vertical="center"/>
    </xf>
    <xf numFmtId="0" fontId="24" fillId="0" borderId="1" xfId="0" applyFont="1" applyBorder="1" applyAlignment="1">
      <alignment vertical="center"/>
    </xf>
    <xf numFmtId="165" fontId="24" fillId="0" borderId="1" xfId="2" applyNumberFormat="1" applyFont="1" applyBorder="1" applyAlignment="1">
      <alignment horizontal="right" vertical="center"/>
    </xf>
    <xf numFmtId="3" fontId="0" fillId="0" borderId="1" xfId="0" applyNumberFormat="1" applyBorder="1" applyAlignment="1">
      <alignment wrapText="1"/>
    </xf>
    <xf numFmtId="165" fontId="31" fillId="0" borderId="1" xfId="2" applyNumberFormat="1" applyFont="1" applyFill="1" applyBorder="1" applyAlignment="1">
      <alignment horizontal="right" vertical="center"/>
    </xf>
    <xf numFmtId="165" fontId="24" fillId="0" borderId="1" xfId="2" applyNumberFormat="1" applyFont="1" applyFill="1" applyBorder="1" applyAlignment="1">
      <alignment horizontal="right" vertical="center"/>
    </xf>
    <xf numFmtId="0" fontId="19" fillId="0" borderId="0" xfId="0" applyFont="1" applyAlignment="1">
      <alignment horizontal="center" vertical="center"/>
    </xf>
    <xf numFmtId="0" fontId="24" fillId="0" borderId="0" xfId="0" applyFont="1" applyAlignment="1">
      <alignment vertical="center"/>
    </xf>
    <xf numFmtId="0" fontId="26" fillId="0" borderId="1" xfId="0" applyFont="1" applyBorder="1" applyAlignment="1">
      <alignment horizontal="justify" vertical="center" wrapText="1"/>
    </xf>
    <xf numFmtId="0" fontId="24" fillId="0" borderId="1" xfId="0" applyFont="1" applyBorder="1" applyAlignment="1">
      <alignment horizontal="justify" vertical="center" wrapText="1"/>
    </xf>
    <xf numFmtId="3" fontId="24" fillId="0" borderId="1" xfId="0" applyNumberFormat="1" applyFont="1" applyBorder="1" applyAlignment="1">
      <alignment horizontal="right" vertical="center" wrapText="1"/>
    </xf>
    <xf numFmtId="0" fontId="26" fillId="0" borderId="1" xfId="0" applyFont="1" applyBorder="1" applyAlignment="1">
      <alignment vertical="center" wrapText="1"/>
    </xf>
    <xf numFmtId="0" fontId="31" fillId="0" borderId="1" xfId="0" applyFont="1" applyBorder="1" applyAlignment="1">
      <alignment horizontal="justify" vertical="center" wrapText="1"/>
    </xf>
    <xf numFmtId="3" fontId="31" fillId="0" borderId="1" xfId="0" applyNumberFormat="1" applyFont="1" applyBorder="1" applyAlignment="1">
      <alignment horizontal="right" vertical="center" wrapText="1"/>
    </xf>
    <xf numFmtId="0" fontId="31" fillId="0" borderId="1" xfId="0" applyFont="1" applyBorder="1" applyAlignment="1">
      <alignment horizontal="right" vertical="center" wrapText="1"/>
    </xf>
    <xf numFmtId="0" fontId="28" fillId="0" borderId="1" xfId="0" applyFont="1" applyBorder="1" applyAlignment="1">
      <alignment horizontal="justify" vertical="center" wrapText="1"/>
    </xf>
    <xf numFmtId="3" fontId="28" fillId="0" borderId="1" xfId="0" applyNumberFormat="1" applyFont="1" applyBorder="1" applyAlignment="1">
      <alignment horizontal="right" vertical="center" wrapText="1"/>
    </xf>
    <xf numFmtId="165" fontId="31" fillId="0" borderId="1" xfId="2" applyNumberFormat="1" applyFont="1" applyFill="1" applyBorder="1" applyAlignment="1">
      <alignment horizontal="right" vertical="center" wrapText="1"/>
    </xf>
    <xf numFmtId="0" fontId="31" fillId="0" borderId="1" xfId="0" applyFont="1" applyBorder="1" applyAlignment="1">
      <alignment vertical="center"/>
    </xf>
    <xf numFmtId="165" fontId="31" fillId="0" borderId="1" xfId="2" applyNumberFormat="1" applyFont="1" applyBorder="1" applyAlignment="1">
      <alignment horizontal="right" vertical="center"/>
    </xf>
    <xf numFmtId="0" fontId="28" fillId="0" borderId="1" xfId="0" applyFont="1" applyBorder="1" applyAlignment="1">
      <alignment vertical="center"/>
    </xf>
    <xf numFmtId="0" fontId="31" fillId="0" borderId="1" xfId="0" applyFont="1" applyBorder="1" applyAlignment="1">
      <alignment vertical="center" wrapText="1"/>
    </xf>
    <xf numFmtId="0" fontId="28" fillId="0" borderId="1" xfId="0" applyFont="1" applyBorder="1" applyAlignment="1">
      <alignment vertical="center" wrapText="1"/>
    </xf>
    <xf numFmtId="165" fontId="28" fillId="0" borderId="1" xfId="2" applyNumberFormat="1" applyFont="1" applyBorder="1" applyAlignment="1">
      <alignment horizontal="right" vertical="center" wrapText="1"/>
    </xf>
    <xf numFmtId="165" fontId="28" fillId="0" borderId="1" xfId="2" applyNumberFormat="1" applyFont="1" applyBorder="1" applyAlignment="1">
      <alignment horizontal="right" vertical="center"/>
    </xf>
    <xf numFmtId="0" fontId="28" fillId="0" borderId="1" xfId="0" applyFont="1" applyBorder="1" applyAlignment="1">
      <alignment horizontal="right" vertical="center" wrapText="1"/>
    </xf>
    <xf numFmtId="0" fontId="31" fillId="0" borderId="1" xfId="0" applyFont="1" applyBorder="1" applyAlignment="1">
      <alignment horizontal="right" vertical="center"/>
    </xf>
    <xf numFmtId="0" fontId="28" fillId="0" borderId="1" xfId="0" applyFont="1" applyBorder="1" applyAlignment="1">
      <alignment horizontal="right" vertical="center"/>
    </xf>
    <xf numFmtId="0" fontId="31" fillId="0" borderId="1" xfId="0" applyFont="1" applyBorder="1" applyAlignment="1">
      <alignment horizontal="center" vertical="center" wrapText="1"/>
    </xf>
    <xf numFmtId="3" fontId="28" fillId="0" borderId="1" xfId="0" applyNumberFormat="1" applyFont="1" applyBorder="1" applyAlignment="1">
      <alignment horizontal="center" vertical="center" wrapText="1"/>
    </xf>
    <xf numFmtId="3" fontId="31" fillId="0" borderId="1" xfId="0" applyNumberFormat="1" applyFont="1" applyBorder="1" applyAlignment="1">
      <alignment horizontal="center" vertical="center" wrapText="1"/>
    </xf>
    <xf numFmtId="3" fontId="31" fillId="0" borderId="1" xfId="0" applyNumberFormat="1" applyFont="1" applyBorder="1" applyAlignment="1">
      <alignment horizontal="right" vertical="center"/>
    </xf>
    <xf numFmtId="3" fontId="28" fillId="0" borderId="1" xfId="0" applyNumberFormat="1" applyFont="1" applyBorder="1" applyAlignment="1">
      <alignment horizontal="right" vertical="center"/>
    </xf>
    <xf numFmtId="0" fontId="29" fillId="0" borderId="1" xfId="0" applyFont="1" applyBorder="1" applyAlignment="1">
      <alignment vertical="center"/>
    </xf>
    <xf numFmtId="165" fontId="29" fillId="0" borderId="1" xfId="2" applyNumberFormat="1" applyFont="1" applyFill="1" applyBorder="1" applyAlignment="1">
      <alignment horizontal="right" vertical="center"/>
    </xf>
    <xf numFmtId="165" fontId="29" fillId="0" borderId="1" xfId="2" applyNumberFormat="1" applyFont="1" applyBorder="1" applyAlignment="1">
      <alignment horizontal="right" vertical="center"/>
    </xf>
    <xf numFmtId="0" fontId="30" fillId="0" borderId="1" xfId="0" applyFont="1" applyBorder="1" applyAlignment="1">
      <alignment vertical="center"/>
    </xf>
    <xf numFmtId="165" fontId="30" fillId="0" borderId="1" xfId="2" applyNumberFormat="1" applyFont="1" applyBorder="1" applyAlignment="1">
      <alignment horizontal="right" vertical="center"/>
    </xf>
    <xf numFmtId="0" fontId="24" fillId="0" borderId="1" xfId="0" applyFont="1" applyBorder="1" applyAlignment="1">
      <alignment vertical="center" wrapText="1"/>
    </xf>
    <xf numFmtId="4" fontId="31" fillId="0" borderId="1" xfId="0" applyNumberFormat="1" applyFont="1" applyBorder="1" applyAlignment="1">
      <alignment horizontal="center" vertical="center" wrapText="1"/>
    </xf>
    <xf numFmtId="4" fontId="18" fillId="0" borderId="1" xfId="0" applyNumberFormat="1" applyFont="1" applyBorder="1" applyAlignment="1">
      <alignment horizontal="center" vertical="center" wrapText="1"/>
    </xf>
    <xf numFmtId="0" fontId="42" fillId="0" borderId="1" xfId="0" applyFont="1" applyBorder="1" applyAlignment="1">
      <alignment horizontal="justify" vertical="center" wrapText="1"/>
    </xf>
    <xf numFmtId="0" fontId="18" fillId="0" borderId="1" xfId="0" applyFont="1" applyBorder="1" applyAlignment="1">
      <alignment horizontal="justify" vertical="center" wrapText="1"/>
    </xf>
    <xf numFmtId="0" fontId="42" fillId="0" borderId="1" xfId="0" applyFont="1" applyBorder="1" applyAlignment="1">
      <alignment vertical="center" wrapText="1"/>
    </xf>
    <xf numFmtId="0" fontId="18" fillId="0" borderId="1" xfId="0" applyFont="1" applyBorder="1" applyAlignment="1">
      <alignment vertical="center" wrapText="1"/>
    </xf>
    <xf numFmtId="0" fontId="18" fillId="0" borderId="1" xfId="0" applyFont="1" applyBorder="1" applyAlignment="1">
      <alignment horizontal="center" vertical="center" wrapText="1"/>
    </xf>
    <xf numFmtId="3" fontId="18" fillId="0" borderId="1" xfId="0" applyNumberFormat="1" applyFont="1" applyBorder="1" applyAlignment="1">
      <alignment horizontal="center" vertical="center" wrapText="1"/>
    </xf>
    <xf numFmtId="0" fontId="27" fillId="0" borderId="1" xfId="0" applyFont="1" applyBorder="1" applyAlignment="1">
      <alignment horizontal="left" vertical="center" wrapText="1"/>
    </xf>
    <xf numFmtId="4" fontId="43" fillId="0" borderId="1" xfId="0" applyNumberFormat="1" applyFont="1" applyBorder="1" applyAlignment="1">
      <alignment horizontal="center" vertical="center" wrapText="1"/>
    </xf>
    <xf numFmtId="3" fontId="43" fillId="0" borderId="1" xfId="0" applyNumberFormat="1" applyFont="1" applyBorder="1" applyAlignment="1">
      <alignment horizontal="center" vertical="center" wrapText="1"/>
    </xf>
    <xf numFmtId="0" fontId="32" fillId="2" borderId="1" xfId="0" applyFont="1" applyFill="1" applyBorder="1" applyAlignment="1">
      <alignment vertical="center"/>
    </xf>
    <xf numFmtId="0" fontId="46" fillId="2" borderId="1" xfId="0" applyFont="1" applyFill="1" applyBorder="1" applyAlignment="1">
      <alignment vertical="center"/>
    </xf>
    <xf numFmtId="0" fontId="47" fillId="0" borderId="1" xfId="0" applyFont="1" applyBorder="1" applyAlignment="1">
      <alignment vertical="center"/>
    </xf>
    <xf numFmtId="3" fontId="47" fillId="0" borderId="1" xfId="0" applyNumberFormat="1" applyFont="1" applyBorder="1" applyAlignment="1">
      <alignment horizontal="right" vertical="center"/>
    </xf>
    <xf numFmtId="0" fontId="32" fillId="0" borderId="1" xfId="0" applyFont="1" applyBorder="1" applyAlignment="1">
      <alignment vertical="center"/>
    </xf>
    <xf numFmtId="0" fontId="48" fillId="0" borderId="1" xfId="0" applyFont="1" applyBorder="1" applyAlignment="1">
      <alignment horizontal="right" vertical="center"/>
    </xf>
    <xf numFmtId="0" fontId="47" fillId="0" borderId="1" xfId="0" applyFont="1" applyBorder="1" applyAlignment="1">
      <alignment horizontal="right" vertical="center"/>
    </xf>
    <xf numFmtId="3" fontId="32" fillId="0" borderId="1" xfId="0" applyNumberFormat="1" applyFont="1" applyBorder="1" applyAlignment="1">
      <alignment horizontal="right" vertical="center"/>
    </xf>
    <xf numFmtId="0" fontId="46" fillId="0" borderId="1" xfId="0" applyFont="1" applyBorder="1" applyAlignment="1">
      <alignment horizontal="right" vertical="center"/>
    </xf>
    <xf numFmtId="0" fontId="0" fillId="0" borderId="0" xfId="0" applyAlignment="1">
      <alignment horizontal="right"/>
    </xf>
    <xf numFmtId="0" fontId="15" fillId="0" borderId="0" xfId="0" applyFont="1" applyAlignment="1">
      <alignment horizontal="right"/>
    </xf>
    <xf numFmtId="0" fontId="28" fillId="3" borderId="1" xfId="0" applyFont="1" applyFill="1" applyBorder="1" applyAlignment="1">
      <alignment horizontal="center" vertical="center" wrapText="1"/>
    </xf>
    <xf numFmtId="0" fontId="28" fillId="4" borderId="1" xfId="0" applyFont="1" applyFill="1" applyBorder="1" applyAlignment="1">
      <alignment horizontal="center" vertical="center" wrapText="1"/>
    </xf>
    <xf numFmtId="0" fontId="31" fillId="4" borderId="1" xfId="0" applyFont="1" applyFill="1" applyBorder="1" applyAlignment="1">
      <alignment horizontal="center" vertical="center" wrapText="1"/>
    </xf>
    <xf numFmtId="0" fontId="31" fillId="4" borderId="1" xfId="0" applyFont="1" applyFill="1" applyBorder="1" applyAlignment="1">
      <alignment vertical="center" wrapText="1"/>
    </xf>
    <xf numFmtId="0" fontId="31" fillId="4" borderId="1" xfId="0" applyFont="1" applyFill="1" applyBorder="1" applyAlignment="1">
      <alignment horizontal="right" vertical="center" wrapText="1"/>
    </xf>
    <xf numFmtId="3" fontId="28" fillId="0" borderId="1" xfId="0" applyNumberFormat="1" applyFont="1" applyBorder="1" applyAlignment="1">
      <alignment vertical="center" wrapText="1"/>
    </xf>
    <xf numFmtId="3" fontId="31" fillId="0" borderId="1" xfId="2" applyNumberFormat="1" applyFont="1" applyBorder="1" applyAlignment="1">
      <alignment vertical="center" wrapText="1"/>
    </xf>
    <xf numFmtId="3" fontId="31" fillId="0" borderId="1" xfId="0" applyNumberFormat="1" applyFont="1" applyBorder="1" applyAlignment="1">
      <alignment vertical="center" wrapText="1"/>
    </xf>
    <xf numFmtId="3" fontId="31" fillId="0" borderId="1" xfId="3" applyNumberFormat="1" applyFont="1" applyBorder="1" applyAlignment="1">
      <alignment vertical="center" wrapText="1"/>
    </xf>
    <xf numFmtId="0" fontId="49" fillId="2" borderId="1" xfId="0" applyFont="1" applyFill="1" applyBorder="1" applyAlignment="1">
      <alignment vertical="center"/>
    </xf>
    <xf numFmtId="3" fontId="49" fillId="2" borderId="1" xfId="0" applyNumberFormat="1" applyFont="1" applyFill="1" applyBorder="1" applyAlignment="1">
      <alignment horizontal="right" vertical="center"/>
    </xf>
    <xf numFmtId="0" fontId="50" fillId="0" borderId="1" xfId="0" applyFont="1" applyBorder="1" applyAlignment="1">
      <alignment vertical="center"/>
    </xf>
    <xf numFmtId="0" fontId="52" fillId="0" borderId="1" xfId="0" applyFont="1" applyBorder="1" applyAlignment="1">
      <alignment vertical="center"/>
    </xf>
    <xf numFmtId="3" fontId="52" fillId="0" borderId="1" xfId="0" applyNumberFormat="1" applyFont="1" applyBorder="1" applyAlignment="1">
      <alignment horizontal="right" vertical="center"/>
    </xf>
    <xf numFmtId="0" fontId="51" fillId="0" borderId="1" xfId="0" applyFont="1" applyBorder="1" applyAlignment="1">
      <alignment vertical="center"/>
    </xf>
    <xf numFmtId="3" fontId="51" fillId="0" borderId="1" xfId="0" applyNumberFormat="1" applyFont="1" applyBorder="1" applyAlignment="1">
      <alignment horizontal="right" vertical="center"/>
    </xf>
    <xf numFmtId="3" fontId="49" fillId="0" borderId="1" xfId="0" applyNumberFormat="1" applyFont="1" applyBorder="1" applyAlignment="1">
      <alignment horizontal="right" vertical="center"/>
    </xf>
    <xf numFmtId="0" fontId="49" fillId="0" borderId="1" xfId="0" applyFont="1" applyBorder="1" applyAlignment="1">
      <alignment vertical="center"/>
    </xf>
    <xf numFmtId="3" fontId="9" fillId="0" borderId="1" xfId="0" applyNumberFormat="1" applyFont="1" applyBorder="1" applyAlignment="1">
      <alignment horizontal="right" vertical="center" wrapText="1"/>
    </xf>
    <xf numFmtId="0" fontId="18" fillId="0" borderId="1" xfId="0" applyFont="1" applyBorder="1" applyAlignment="1">
      <alignment vertical="center"/>
    </xf>
    <xf numFmtId="4" fontId="18" fillId="0" borderId="1" xfId="0" applyNumberFormat="1" applyFont="1" applyBorder="1" applyAlignment="1">
      <alignment horizontal="justify" vertical="center" wrapText="1"/>
    </xf>
    <xf numFmtId="0" fontId="7" fillId="0" borderId="11" xfId="0" applyFont="1" applyBorder="1" applyAlignment="1">
      <alignment horizontal="right" vertical="center" wrapText="1"/>
    </xf>
    <xf numFmtId="3" fontId="3" fillId="0" borderId="18" xfId="0" applyNumberFormat="1" applyFont="1" applyBorder="1" applyAlignment="1">
      <alignment horizontal="right" vertical="center" wrapText="1"/>
    </xf>
    <xf numFmtId="3" fontId="7" fillId="0" borderId="18" xfId="0" applyNumberFormat="1" applyFont="1" applyBorder="1" applyAlignment="1">
      <alignment horizontal="right" vertical="center" wrapText="1"/>
    </xf>
    <xf numFmtId="0" fontId="7" fillId="0" borderId="18" xfId="0" applyFont="1" applyBorder="1" applyAlignment="1">
      <alignment horizontal="right" vertical="center" wrapText="1"/>
    </xf>
    <xf numFmtId="165" fontId="7" fillId="0" borderId="18" xfId="2" applyNumberFormat="1" applyFont="1" applyBorder="1" applyAlignment="1">
      <alignment horizontal="right" vertical="center" wrapText="1"/>
    </xf>
    <xf numFmtId="0" fontId="3" fillId="0" borderId="18" xfId="0" applyFont="1" applyBorder="1" applyAlignment="1">
      <alignment horizontal="right" vertical="center" wrapText="1"/>
    </xf>
    <xf numFmtId="0" fontId="37" fillId="0" borderId="18" xfId="0" applyFont="1" applyBorder="1" applyAlignment="1">
      <alignment vertical="top" wrapText="1"/>
    </xf>
    <xf numFmtId="4" fontId="45" fillId="0" borderId="1" xfId="0" applyNumberFormat="1" applyFont="1" applyBorder="1" applyAlignment="1">
      <alignment vertical="top" wrapText="1"/>
    </xf>
    <xf numFmtId="3" fontId="45" fillId="0" borderId="1" xfId="0" applyNumberFormat="1" applyFont="1" applyBorder="1" applyAlignment="1">
      <alignment vertical="top" wrapText="1"/>
    </xf>
    <xf numFmtId="4" fontId="44" fillId="0" borderId="1" xfId="0" applyNumberFormat="1" applyFont="1" applyBorder="1" applyAlignment="1">
      <alignment horizontal="center" vertical="center" wrapText="1"/>
    </xf>
    <xf numFmtId="165" fontId="28" fillId="0" borderId="0" xfId="0" applyNumberFormat="1" applyFont="1" applyAlignment="1">
      <alignment horizontal="right" vertical="center"/>
    </xf>
    <xf numFmtId="3" fontId="26" fillId="0" borderId="1" xfId="0" applyNumberFormat="1" applyFont="1" applyBorder="1" applyAlignment="1">
      <alignment horizontal="right" vertical="center" wrapText="1"/>
    </xf>
    <xf numFmtId="0" fontId="24" fillId="0" borderId="0" xfId="0" applyFont="1" applyAlignment="1">
      <alignment horizontal="left" vertical="center"/>
    </xf>
    <xf numFmtId="0" fontId="53" fillId="0" borderId="0" xfId="0" applyFont="1"/>
    <xf numFmtId="0" fontId="54" fillId="0" borderId="0" xfId="0" applyFont="1"/>
    <xf numFmtId="0" fontId="55" fillId="0" borderId="0" xfId="0" applyFont="1" applyAlignment="1">
      <alignment wrapText="1"/>
    </xf>
    <xf numFmtId="3" fontId="11" fillId="0" borderId="1" xfId="0" applyNumberFormat="1" applyFont="1" applyBorder="1" applyAlignment="1">
      <alignment vertical="center" wrapText="1"/>
    </xf>
    <xf numFmtId="4" fontId="45" fillId="0" borderId="1" xfId="0" applyNumberFormat="1" applyFont="1" applyBorder="1" applyAlignment="1">
      <alignment horizontal="center" vertical="top" wrapText="1"/>
    </xf>
    <xf numFmtId="0" fontId="61" fillId="0" borderId="0" xfId="0" applyFont="1" applyAlignment="1">
      <alignment horizontal="justify" vertical="center"/>
    </xf>
    <xf numFmtId="0" fontId="59" fillId="0" borderId="1" xfId="0" applyFont="1" applyBorder="1" applyAlignment="1">
      <alignment horizontal="center" vertical="center"/>
    </xf>
    <xf numFmtId="165" fontId="9" fillId="0" borderId="1" xfId="2" applyNumberFormat="1" applyFont="1" applyFill="1" applyBorder="1" applyAlignment="1">
      <alignment horizontal="right" vertical="center" wrapText="1"/>
    </xf>
    <xf numFmtId="0" fontId="59" fillId="0" borderId="1" xfId="0" applyFont="1" applyBorder="1" applyAlignment="1">
      <alignment vertical="center"/>
    </xf>
    <xf numFmtId="165" fontId="59" fillId="0" borderId="1" xfId="2" applyNumberFormat="1" applyFont="1" applyFill="1" applyBorder="1" applyAlignment="1">
      <alignment horizontal="right" vertical="center" wrapText="1"/>
    </xf>
    <xf numFmtId="165" fontId="59" fillId="0" borderId="1" xfId="2" applyNumberFormat="1" applyFont="1" applyFill="1" applyBorder="1" applyAlignment="1">
      <alignment horizontal="right" vertical="center"/>
    </xf>
    <xf numFmtId="0" fontId="61" fillId="0" borderId="0" xfId="0" applyFont="1" applyAlignment="1">
      <alignment vertical="center"/>
    </xf>
    <xf numFmtId="0" fontId="10" fillId="0" borderId="1" xfId="0" applyFont="1" applyBorder="1" applyAlignment="1">
      <alignment horizontal="justify" vertical="center" wrapText="1"/>
    </xf>
    <xf numFmtId="3" fontId="10" fillId="0" borderId="1" xfId="0" applyNumberFormat="1" applyFont="1" applyBorder="1" applyAlignment="1">
      <alignment horizontal="right" vertical="center" wrapText="1"/>
    </xf>
    <xf numFmtId="0" fontId="61" fillId="0" borderId="1" xfId="0" applyFont="1" applyBorder="1" applyAlignment="1">
      <alignment horizontal="justify" vertical="center" wrapText="1"/>
    </xf>
    <xf numFmtId="3" fontId="61" fillId="0" borderId="1" xfId="0" applyNumberFormat="1" applyFont="1" applyBorder="1" applyAlignment="1">
      <alignment horizontal="right" vertical="center" wrapText="1"/>
    </xf>
    <xf numFmtId="0" fontId="10" fillId="0" borderId="1" xfId="0" applyFont="1" applyBorder="1" applyAlignment="1">
      <alignment vertical="center" wrapText="1"/>
    </xf>
    <xf numFmtId="0" fontId="10" fillId="0" borderId="1" xfId="0" applyFont="1" applyBorder="1" applyAlignment="1">
      <alignment horizontal="right" vertical="center" wrapText="1"/>
    </xf>
    <xf numFmtId="0" fontId="61" fillId="0" borderId="1" xfId="0" applyFont="1" applyBorder="1" applyAlignment="1">
      <alignment horizontal="right" vertical="center" wrapText="1"/>
    </xf>
    <xf numFmtId="0" fontId="24" fillId="0" borderId="0" xfId="0" applyFont="1" applyAlignment="1">
      <alignment horizontal="center" vertical="center"/>
    </xf>
    <xf numFmtId="0" fontId="65" fillId="5" borderId="0" xfId="0" applyFont="1" applyFill="1" applyAlignment="1">
      <alignment vertical="center"/>
    </xf>
    <xf numFmtId="0" fontId="66" fillId="0" borderId="0" xfId="0" applyFont="1"/>
    <xf numFmtId="0" fontId="22" fillId="0" borderId="0" xfId="0" applyFont="1"/>
    <xf numFmtId="0" fontId="64" fillId="0" borderId="0" xfId="0" applyFont="1" applyAlignment="1">
      <alignment horizontal="left" wrapText="1"/>
    </xf>
    <xf numFmtId="0" fontId="68" fillId="0" borderId="0" xfId="0" applyFont="1" applyAlignment="1">
      <alignment horizontal="justify" vertical="center"/>
    </xf>
    <xf numFmtId="0" fontId="70" fillId="0" borderId="0" xfId="0" applyFont="1"/>
    <xf numFmtId="0" fontId="70" fillId="0" borderId="0" xfId="0" applyFont="1" applyAlignment="1">
      <alignment horizontal="justify" vertical="center"/>
    </xf>
    <xf numFmtId="0" fontId="70" fillId="0" borderId="0" xfId="0" applyFont="1" applyAlignment="1">
      <alignment horizontal="left" vertical="center"/>
    </xf>
    <xf numFmtId="0" fontId="68" fillId="0" borderId="0" xfId="0" applyFont="1" applyAlignment="1">
      <alignment horizontal="left" vertical="center"/>
    </xf>
    <xf numFmtId="0" fontId="68" fillId="0" borderId="0" xfId="0" applyFont="1"/>
    <xf numFmtId="0" fontId="73" fillId="0" borderId="0" xfId="0" applyFont="1"/>
    <xf numFmtId="0" fontId="68" fillId="0" borderId="0" xfId="0" applyFont="1" applyAlignment="1">
      <alignment vertical="center"/>
    </xf>
    <xf numFmtId="0" fontId="74" fillId="0" borderId="0" xfId="0" applyFont="1" applyAlignment="1">
      <alignment vertical="center"/>
    </xf>
    <xf numFmtId="3" fontId="70" fillId="0" borderId="0" xfId="0" applyNumberFormat="1" applyFont="1"/>
    <xf numFmtId="0" fontId="68" fillId="0" borderId="0" xfId="0" applyFont="1" applyAlignment="1">
      <alignment horizontal="left" wrapText="1"/>
    </xf>
    <xf numFmtId="165" fontId="70" fillId="0" borderId="3" xfId="2" applyNumberFormat="1" applyFont="1" applyFill="1" applyBorder="1" applyAlignment="1">
      <alignment horizontal="right" vertical="center"/>
    </xf>
    <xf numFmtId="165" fontId="76" fillId="0" borderId="0" xfId="2" applyNumberFormat="1" applyFont="1" applyFill="1" applyBorder="1" applyAlignment="1">
      <alignment horizontal="right" vertical="center"/>
    </xf>
    <xf numFmtId="49" fontId="70" fillId="0" borderId="10" xfId="0" applyNumberFormat="1" applyFont="1" applyBorder="1" applyAlignment="1">
      <alignment horizontal="left" vertical="center" indent="5"/>
    </xf>
    <xf numFmtId="0" fontId="74" fillId="0" borderId="0" xfId="0" applyFont="1" applyAlignment="1">
      <alignment horizontal="justify" vertical="center"/>
    </xf>
    <xf numFmtId="0" fontId="56" fillId="0" borderId="0" xfId="0" applyFont="1" applyAlignment="1">
      <alignment vertical="center"/>
    </xf>
    <xf numFmtId="0" fontId="68" fillId="5" borderId="0" xfId="0" applyFont="1" applyFill="1" applyAlignment="1">
      <alignment horizontal="left" vertical="center" indent="4"/>
    </xf>
    <xf numFmtId="0" fontId="68" fillId="5" borderId="0" xfId="0" applyFont="1" applyFill="1"/>
    <xf numFmtId="3" fontId="68" fillId="5" borderId="0" xfId="0" applyNumberFormat="1" applyFont="1" applyFill="1"/>
    <xf numFmtId="0" fontId="0" fillId="0" borderId="1" xfId="0" applyBorder="1"/>
    <xf numFmtId="168" fontId="66" fillId="0" borderId="1" xfId="0" applyNumberFormat="1" applyFont="1" applyBorder="1" applyAlignment="1">
      <alignment horizontal="right" vertical="center"/>
    </xf>
    <xf numFmtId="0" fontId="65" fillId="0" borderId="0" xfId="0" applyFont="1" applyAlignment="1">
      <alignment vertical="center"/>
    </xf>
    <xf numFmtId="10" fontId="78" fillId="0" borderId="1" xfId="7" applyNumberFormat="1" applyFont="1" applyBorder="1" applyAlignment="1">
      <alignment horizontal="center"/>
    </xf>
    <xf numFmtId="0" fontId="75" fillId="0" borderId="0" xfId="0" applyFont="1"/>
    <xf numFmtId="0" fontId="0" fillId="0" borderId="0" xfId="0" applyAlignment="1">
      <alignment horizontal="center"/>
    </xf>
    <xf numFmtId="0" fontId="84" fillId="7" borderId="1" xfId="0" applyFont="1" applyFill="1" applyBorder="1" applyAlignment="1">
      <alignment horizontal="center" vertical="center" wrapText="1"/>
    </xf>
    <xf numFmtId="0" fontId="85" fillId="7" borderId="1" xfId="0" applyFont="1" applyFill="1" applyBorder="1" applyAlignment="1">
      <alignment horizontal="center" vertical="center" wrapText="1"/>
    </xf>
    <xf numFmtId="0" fontId="86" fillId="7" borderId="1" xfId="0" applyFont="1" applyFill="1" applyBorder="1" applyAlignment="1">
      <alignment horizontal="center" vertical="center" wrapText="1"/>
    </xf>
    <xf numFmtId="0" fontId="87" fillId="7" borderId="1" xfId="0" applyFont="1" applyFill="1" applyBorder="1" applyAlignment="1">
      <alignment horizontal="center" vertical="center" wrapText="1"/>
    </xf>
    <xf numFmtId="0" fontId="87" fillId="7" borderId="1" xfId="0" applyFont="1" applyFill="1" applyBorder="1" applyAlignment="1">
      <alignment horizontal="center" vertical="center"/>
    </xf>
    <xf numFmtId="0" fontId="87" fillId="7" borderId="1" xfId="0" applyFont="1" applyFill="1" applyBorder="1" applyAlignment="1">
      <alignment vertical="center" wrapText="1"/>
    </xf>
    <xf numFmtId="0" fontId="87" fillId="7" borderId="11" xfId="0" applyFont="1" applyFill="1" applyBorder="1" applyAlignment="1">
      <alignment horizontal="center" vertical="center"/>
    </xf>
    <xf numFmtId="0" fontId="87" fillId="7" borderId="12" xfId="0" applyFont="1" applyFill="1" applyBorder="1" applyAlignment="1">
      <alignment horizontal="center" vertical="center"/>
    </xf>
    <xf numFmtId="0" fontId="87" fillId="8" borderId="1" xfId="0" applyFont="1" applyFill="1" applyBorder="1" applyAlignment="1">
      <alignment horizontal="center" vertical="center" wrapText="1"/>
    </xf>
    <xf numFmtId="0" fontId="85" fillId="7" borderId="1" xfId="0" applyFont="1" applyFill="1" applyBorder="1" applyAlignment="1">
      <alignment horizontal="center" vertical="center"/>
    </xf>
    <xf numFmtId="3" fontId="87" fillId="7" borderId="1" xfId="0" applyNumberFormat="1" applyFont="1" applyFill="1" applyBorder="1" applyAlignment="1">
      <alignment horizontal="right" vertical="center" wrapText="1"/>
    </xf>
    <xf numFmtId="0" fontId="90" fillId="7" borderId="1" xfId="0" applyFont="1" applyFill="1" applyBorder="1" applyAlignment="1">
      <alignment horizontal="center" vertical="center" wrapText="1"/>
    </xf>
    <xf numFmtId="0" fontId="25" fillId="0" borderId="0" xfId="0" applyFont="1" applyAlignment="1">
      <alignment horizontal="center" vertical="center"/>
    </xf>
    <xf numFmtId="0" fontId="24" fillId="0" borderId="0" xfId="0" applyFont="1" applyAlignment="1">
      <alignment horizontal="justify" vertical="center"/>
    </xf>
    <xf numFmtId="0" fontId="87" fillId="7" borderId="1" xfId="0" applyFont="1" applyFill="1" applyBorder="1" applyAlignment="1">
      <alignment vertical="center"/>
    </xf>
    <xf numFmtId="0" fontId="92" fillId="7" borderId="1" xfId="0" applyFont="1" applyFill="1" applyBorder="1" applyAlignment="1">
      <alignment horizontal="center" vertical="center" wrapText="1"/>
    </xf>
    <xf numFmtId="0" fontId="92" fillId="7" borderId="1" xfId="0" applyFont="1" applyFill="1" applyBorder="1" applyAlignment="1">
      <alignment vertical="center"/>
    </xf>
    <xf numFmtId="0" fontId="90" fillId="7" borderId="1" xfId="0" applyFont="1" applyFill="1" applyBorder="1" applyAlignment="1">
      <alignment horizontal="center" vertical="center"/>
    </xf>
    <xf numFmtId="0" fontId="16" fillId="0" borderId="0" xfId="0" applyFont="1" applyAlignment="1">
      <alignment vertical="center"/>
    </xf>
    <xf numFmtId="0" fontId="0" fillId="5" borderId="0" xfId="0" applyFill="1" applyAlignment="1">
      <alignment horizontal="center"/>
    </xf>
    <xf numFmtId="1" fontId="65" fillId="5" borderId="0" xfId="0" applyNumberFormat="1" applyFont="1" applyFill="1" applyAlignment="1">
      <alignment vertical="center"/>
    </xf>
    <xf numFmtId="1" fontId="0" fillId="0" borderId="0" xfId="0" applyNumberFormat="1"/>
    <xf numFmtId="1" fontId="65" fillId="0" borderId="0" xfId="0" applyNumberFormat="1" applyFont="1" applyAlignment="1">
      <alignment horizontal="left"/>
    </xf>
    <xf numFmtId="1" fontId="66" fillId="0" borderId="0" xfId="0" applyNumberFormat="1" applyFont="1"/>
    <xf numFmtId="1" fontId="66" fillId="0" borderId="0" xfId="0" applyNumberFormat="1" applyFont="1" applyAlignment="1">
      <alignment horizontal="left" wrapText="1"/>
    </xf>
    <xf numFmtId="1" fontId="22" fillId="0" borderId="0" xfId="0" applyNumberFormat="1" applyFont="1"/>
    <xf numFmtId="10" fontId="78" fillId="0" borderId="6" xfId="7" applyNumberFormat="1" applyFont="1" applyBorder="1" applyAlignment="1">
      <alignment horizontal="center"/>
    </xf>
    <xf numFmtId="0" fontId="9" fillId="0" borderId="1" xfId="0" applyFont="1" applyBorder="1" applyAlignment="1">
      <alignment horizontal="left" vertical="center"/>
    </xf>
    <xf numFmtId="3" fontId="9" fillId="0" borderId="1" xfId="0" applyNumberFormat="1" applyFont="1" applyBorder="1" applyAlignment="1">
      <alignment horizontal="center" vertical="center"/>
    </xf>
    <xf numFmtId="3" fontId="59" fillId="0" borderId="1" xfId="0" applyNumberFormat="1" applyFont="1" applyBorder="1" applyAlignment="1">
      <alignment horizontal="center" vertical="center"/>
    </xf>
    <xf numFmtId="0" fontId="96" fillId="7" borderId="1" xfId="0" applyFont="1" applyFill="1" applyBorder="1" applyAlignment="1">
      <alignment horizontal="center"/>
    </xf>
    <xf numFmtId="165" fontId="24" fillId="0" borderId="0" xfId="2" applyNumberFormat="1" applyFont="1" applyBorder="1" applyAlignment="1">
      <alignment horizontal="right" vertical="center"/>
    </xf>
    <xf numFmtId="165" fontId="24" fillId="0" borderId="0" xfId="2" applyNumberFormat="1" applyFont="1" applyFill="1" applyBorder="1" applyAlignment="1">
      <alignment horizontal="right" vertical="center"/>
    </xf>
    <xf numFmtId="0" fontId="87" fillId="0" borderId="0" xfId="0" applyFont="1" applyAlignment="1">
      <alignment horizontal="center" vertical="center"/>
    </xf>
    <xf numFmtId="41" fontId="9" fillId="0" borderId="1" xfId="3" applyFont="1" applyFill="1" applyBorder="1" applyAlignment="1">
      <alignment horizontal="center" vertical="center"/>
    </xf>
    <xf numFmtId="0" fontId="87" fillId="7" borderId="22" xfId="0" applyFont="1" applyFill="1" applyBorder="1" applyAlignment="1">
      <alignment horizontal="center" vertical="center"/>
    </xf>
    <xf numFmtId="0" fontId="87" fillId="7" borderId="23" xfId="0" applyFont="1" applyFill="1" applyBorder="1" applyAlignment="1">
      <alignment horizontal="center" vertical="center"/>
    </xf>
    <xf numFmtId="0" fontId="87" fillId="7" borderId="21" xfId="0" applyFont="1" applyFill="1" applyBorder="1" applyAlignment="1">
      <alignment horizontal="center" vertical="center"/>
    </xf>
    <xf numFmtId="0" fontId="9" fillId="0" borderId="4" xfId="0" applyFont="1" applyBorder="1" applyAlignment="1">
      <alignment horizontal="left" vertical="center"/>
    </xf>
    <xf numFmtId="0" fontId="87" fillId="0" borderId="7" xfId="0" applyFont="1" applyBorder="1" applyAlignment="1">
      <alignment horizontal="center" vertical="center"/>
    </xf>
    <xf numFmtId="41" fontId="59" fillId="0" borderId="8" xfId="0" applyNumberFormat="1" applyFont="1" applyBorder="1" applyAlignment="1">
      <alignment horizontal="center" vertical="center"/>
    </xf>
    <xf numFmtId="41" fontId="59" fillId="0" borderId="9" xfId="0" applyNumberFormat="1" applyFont="1" applyBorder="1" applyAlignment="1">
      <alignment horizontal="center" vertical="center"/>
    </xf>
    <xf numFmtId="165" fontId="7" fillId="0" borderId="18" xfId="0" applyNumberFormat="1" applyFont="1" applyBorder="1" applyAlignment="1">
      <alignment horizontal="right" vertical="center" wrapText="1"/>
    </xf>
    <xf numFmtId="0" fontId="0" fillId="0" borderId="0" xfId="0" applyAlignment="1">
      <alignment wrapText="1"/>
    </xf>
    <xf numFmtId="3" fontId="0" fillId="0" borderId="0" xfId="0" applyNumberFormat="1" applyAlignment="1">
      <alignment wrapText="1"/>
    </xf>
    <xf numFmtId="0" fontId="28" fillId="0" borderId="0" xfId="0" applyFont="1" applyAlignment="1">
      <alignment horizontal="justify" vertical="center"/>
    </xf>
    <xf numFmtId="0" fontId="31" fillId="0" borderId="0" xfId="0" applyFont="1" applyAlignment="1">
      <alignment horizontal="justify" vertical="center"/>
    </xf>
    <xf numFmtId="0" fontId="28" fillId="0" borderId="0" xfId="0" applyFont="1" applyAlignment="1">
      <alignment vertical="center" wrapText="1"/>
    </xf>
    <xf numFmtId="165" fontId="28" fillId="0" borderId="0" xfId="2" applyNumberFormat="1" applyFont="1" applyBorder="1" applyAlignment="1">
      <alignment horizontal="right" vertical="center" wrapText="1"/>
    </xf>
    <xf numFmtId="165" fontId="28" fillId="0" borderId="0" xfId="2" applyNumberFormat="1" applyFont="1" applyFill="1" applyBorder="1" applyAlignment="1">
      <alignment horizontal="right" vertical="center" wrapText="1"/>
    </xf>
    <xf numFmtId="0" fontId="87" fillId="7" borderId="12" xfId="0" applyFont="1" applyFill="1" applyBorder="1" applyAlignment="1">
      <alignment horizontal="center" vertical="center" wrapText="1"/>
    </xf>
    <xf numFmtId="0" fontId="87" fillId="7" borderId="12" xfId="0" applyFont="1" applyFill="1" applyBorder="1" applyAlignment="1">
      <alignment vertical="center" wrapText="1"/>
    </xf>
    <xf numFmtId="0" fontId="87" fillId="7" borderId="17" xfId="0" applyFont="1" applyFill="1" applyBorder="1" applyAlignment="1">
      <alignment horizontal="center" vertical="center" wrapText="1"/>
    </xf>
    <xf numFmtId="0" fontId="87" fillId="7" borderId="17" xfId="0" applyFont="1" applyFill="1" applyBorder="1" applyAlignment="1">
      <alignment vertical="center" wrapText="1"/>
    </xf>
    <xf numFmtId="3" fontId="46" fillId="0" borderId="1" xfId="0" applyNumberFormat="1" applyFont="1" applyBorder="1" applyAlignment="1">
      <alignment horizontal="right" vertical="center"/>
    </xf>
    <xf numFmtId="3" fontId="46" fillId="2" borderId="1" xfId="0" applyNumberFormat="1" applyFont="1" applyFill="1" applyBorder="1" applyAlignment="1">
      <alignment vertical="center"/>
    </xf>
    <xf numFmtId="0" fontId="27" fillId="0" borderId="1" xfId="0" applyFont="1" applyBorder="1" applyAlignment="1">
      <alignment vertical="center" wrapText="1"/>
    </xf>
    <xf numFmtId="41" fontId="59" fillId="0" borderId="0" xfId="0" applyNumberFormat="1" applyFont="1" applyAlignment="1">
      <alignment horizontal="center" vertical="center"/>
    </xf>
    <xf numFmtId="0" fontId="31" fillId="0" borderId="4" xfId="0" applyFont="1" applyBorder="1" applyAlignment="1">
      <alignment vertical="center"/>
    </xf>
    <xf numFmtId="41" fontId="7" fillId="0" borderId="18" xfId="0" applyNumberFormat="1" applyFont="1" applyBorder="1" applyAlignment="1">
      <alignment horizontal="right" vertical="center" wrapText="1"/>
    </xf>
    <xf numFmtId="49" fontId="9" fillId="0" borderId="4" xfId="0" applyNumberFormat="1" applyFont="1" applyBorder="1" applyAlignment="1">
      <alignment horizontal="left" vertical="center"/>
    </xf>
    <xf numFmtId="3" fontId="17" fillId="0" borderId="0" xfId="0" applyNumberFormat="1" applyFont="1" applyAlignment="1">
      <alignment vertical="center" wrapText="1"/>
    </xf>
    <xf numFmtId="0" fontId="26" fillId="0" borderId="1" xfId="0" applyFont="1" applyBorder="1" applyAlignment="1">
      <alignment horizontal="justify" vertical="center"/>
    </xf>
    <xf numFmtId="0" fontId="31" fillId="0" borderId="1" xfId="0" applyFont="1" applyBorder="1" applyAlignment="1">
      <alignment horizontal="left" vertical="center" wrapText="1"/>
    </xf>
    <xf numFmtId="3" fontId="28" fillId="0" borderId="1" xfId="2" applyNumberFormat="1" applyFont="1" applyBorder="1" applyAlignment="1">
      <alignment vertical="center" wrapText="1"/>
    </xf>
    <xf numFmtId="3" fontId="28" fillId="0" borderId="1" xfId="2" applyNumberFormat="1" applyFont="1" applyBorder="1" applyAlignment="1">
      <alignment horizontal="right" vertical="center" wrapText="1"/>
    </xf>
    <xf numFmtId="3" fontId="26" fillId="0" borderId="1" xfId="3" applyNumberFormat="1" applyFont="1" applyBorder="1" applyAlignment="1">
      <alignment horizontal="right" vertical="center" wrapText="1"/>
    </xf>
    <xf numFmtId="0" fontId="0" fillId="0" borderId="0" xfId="0" applyAlignment="1">
      <alignment horizontal="left" vertical="top" wrapText="1"/>
    </xf>
    <xf numFmtId="0" fontId="20" fillId="0" borderId="11" xfId="0" applyFont="1" applyBorder="1" applyAlignment="1">
      <alignment vertical="center" wrapText="1"/>
    </xf>
    <xf numFmtId="3" fontId="7" fillId="0" borderId="11" xfId="0" applyNumberFormat="1" applyFont="1" applyBorder="1" applyAlignment="1">
      <alignment horizontal="right" vertical="center" wrapText="1"/>
    </xf>
    <xf numFmtId="0" fontId="3" fillId="0" borderId="11" xfId="0" applyFont="1" applyBorder="1" applyAlignment="1">
      <alignment vertical="center" wrapText="1"/>
    </xf>
    <xf numFmtId="0" fontId="20" fillId="0" borderId="18" xfId="0" applyFont="1" applyBorder="1" applyAlignment="1">
      <alignment vertical="center" wrapText="1"/>
    </xf>
    <xf numFmtId="0" fontId="3" fillId="0" borderId="18" xfId="0" applyFont="1" applyBorder="1" applyAlignment="1">
      <alignment vertical="center" wrapText="1"/>
    </xf>
    <xf numFmtId="0" fontId="21" fillId="0" borderId="18" xfId="0" applyFont="1" applyBorder="1" applyAlignment="1">
      <alignment vertical="center" wrapText="1"/>
    </xf>
    <xf numFmtId="0" fontId="7" fillId="0" borderId="18" xfId="0" applyFont="1" applyBorder="1" applyAlignment="1">
      <alignment vertical="center" wrapText="1"/>
    </xf>
    <xf numFmtId="3" fontId="7" fillId="0" borderId="18" xfId="0" applyNumberFormat="1" applyFont="1" applyBorder="1" applyAlignment="1">
      <alignment vertical="center" wrapText="1"/>
    </xf>
    <xf numFmtId="0" fontId="22" fillId="0" borderId="18" xfId="0" applyFont="1" applyBorder="1" applyAlignment="1">
      <alignment vertical="top" wrapText="1"/>
    </xf>
    <xf numFmtId="3" fontId="37" fillId="0" borderId="18" xfId="0" applyNumberFormat="1" applyFont="1" applyBorder="1" applyAlignment="1">
      <alignment vertical="top" wrapText="1"/>
    </xf>
    <xf numFmtId="0" fontId="21" fillId="0" borderId="18" xfId="0" applyFont="1" applyBorder="1" applyAlignment="1">
      <alignment vertical="center"/>
    </xf>
    <xf numFmtId="3" fontId="51" fillId="0" borderId="1" xfId="3" applyNumberFormat="1" applyFont="1" applyFill="1" applyBorder="1" applyAlignment="1">
      <alignment horizontal="right" vertical="center"/>
    </xf>
    <xf numFmtId="3" fontId="59" fillId="0" borderId="1" xfId="0" applyNumberFormat="1" applyFont="1" applyBorder="1" applyAlignment="1">
      <alignment horizontal="right" vertical="center"/>
    </xf>
    <xf numFmtId="0" fontId="100" fillId="0" borderId="0" xfId="0" applyFont="1" applyAlignment="1">
      <alignment vertical="center"/>
    </xf>
    <xf numFmtId="0" fontId="30" fillId="0" borderId="0" xfId="0" applyFont="1" applyAlignment="1">
      <alignment vertical="center"/>
    </xf>
    <xf numFmtId="165" fontId="30" fillId="0" borderId="0" xfId="2" applyNumberFormat="1" applyFont="1" applyBorder="1" applyAlignment="1">
      <alignment horizontal="right" vertical="center"/>
    </xf>
    <xf numFmtId="0" fontId="66" fillId="0" borderId="0" xfId="0" applyFont="1" applyAlignment="1">
      <alignment vertical="center"/>
    </xf>
    <xf numFmtId="0" fontId="66" fillId="0" borderId="0" xfId="0" applyFont="1" applyAlignment="1">
      <alignment horizontal="left" vertical="center"/>
    </xf>
    <xf numFmtId="3" fontId="3" fillId="9" borderId="18" xfId="0" applyNumberFormat="1" applyFont="1" applyFill="1" applyBorder="1" applyAlignment="1">
      <alignment horizontal="right" vertical="center" wrapText="1"/>
    </xf>
    <xf numFmtId="0" fontId="20" fillId="9" borderId="18" xfId="0" applyFont="1" applyFill="1" applyBorder="1" applyAlignment="1">
      <alignment vertical="center" wrapText="1"/>
    </xf>
    <xf numFmtId="0" fontId="21" fillId="9" borderId="18" xfId="0" applyFont="1" applyFill="1" applyBorder="1" applyAlignment="1">
      <alignment vertical="center" wrapText="1"/>
    </xf>
    <xf numFmtId="0" fontId="99" fillId="9" borderId="18" xfId="0" applyFont="1" applyFill="1" applyBorder="1" applyAlignment="1">
      <alignment vertical="center" wrapText="1"/>
    </xf>
    <xf numFmtId="3" fontId="3" fillId="9" borderId="19" xfId="0" applyNumberFormat="1" applyFont="1" applyFill="1" applyBorder="1" applyAlignment="1">
      <alignment horizontal="right" vertical="center" wrapText="1"/>
    </xf>
    <xf numFmtId="3" fontId="28" fillId="9" borderId="1" xfId="0" applyNumberFormat="1" applyFont="1" applyFill="1" applyBorder="1" applyAlignment="1">
      <alignment vertical="center" wrapText="1"/>
    </xf>
    <xf numFmtId="0" fontId="31" fillId="9" borderId="1" xfId="0" applyFont="1" applyFill="1" applyBorder="1" applyAlignment="1">
      <alignment vertical="center" wrapText="1"/>
    </xf>
    <xf numFmtId="3" fontId="31" fillId="9" borderId="1" xfId="0" applyNumberFormat="1" applyFont="1" applyFill="1" applyBorder="1" applyAlignment="1">
      <alignment vertical="center" wrapText="1"/>
    </xf>
    <xf numFmtId="3" fontId="0" fillId="9" borderId="1" xfId="0" applyNumberFormat="1" applyFill="1" applyBorder="1" applyAlignment="1">
      <alignment wrapText="1"/>
    </xf>
    <xf numFmtId="0" fontId="28" fillId="9" borderId="1" xfId="0" applyFont="1" applyFill="1" applyBorder="1" applyAlignment="1">
      <alignment vertical="center" wrapText="1"/>
    </xf>
    <xf numFmtId="3" fontId="28" fillId="9" borderId="1" xfId="0" applyNumberFormat="1" applyFont="1" applyFill="1" applyBorder="1" applyAlignment="1">
      <alignment horizontal="right" vertical="center" wrapText="1"/>
    </xf>
    <xf numFmtId="3" fontId="32" fillId="9" borderId="1" xfId="0" applyNumberFormat="1" applyFont="1" applyFill="1" applyBorder="1" applyAlignment="1">
      <alignment horizontal="right" vertical="center"/>
    </xf>
    <xf numFmtId="0" fontId="40" fillId="9" borderId="0" xfId="0" applyFont="1" applyFill="1"/>
    <xf numFmtId="0" fontId="41" fillId="9" borderId="0" xfId="0" applyFont="1" applyFill="1"/>
    <xf numFmtId="0" fontId="36" fillId="9" borderId="0" xfId="0" applyFont="1" applyFill="1"/>
    <xf numFmtId="0" fontId="0" fillId="9" borderId="0" xfId="0" applyFill="1"/>
    <xf numFmtId="0" fontId="39" fillId="0" borderId="0" xfId="0" applyFont="1"/>
    <xf numFmtId="0" fontId="32" fillId="0" borderId="0" xfId="0" applyFont="1" applyAlignment="1">
      <alignment horizontal="center" vertical="center"/>
    </xf>
    <xf numFmtId="0" fontId="32" fillId="0" borderId="0" xfId="0" applyFont="1" applyAlignment="1">
      <alignment horizontal="center" vertical="center" wrapText="1"/>
    </xf>
    <xf numFmtId="0" fontId="26" fillId="0" borderId="0" xfId="0" applyFont="1" applyAlignment="1">
      <alignment horizontal="justify" vertical="center" wrapText="1"/>
    </xf>
    <xf numFmtId="41" fontId="0" fillId="0" borderId="0" xfId="0" applyNumberFormat="1"/>
    <xf numFmtId="3" fontId="52" fillId="0" borderId="0" xfId="0" applyNumberFormat="1" applyFont="1" applyAlignment="1">
      <alignment horizontal="right" vertical="center"/>
    </xf>
    <xf numFmtId="0" fontId="38" fillId="0" borderId="1" xfId="0" applyFont="1" applyBorder="1" applyAlignment="1">
      <alignment vertical="center" wrapText="1"/>
    </xf>
    <xf numFmtId="0" fontId="16" fillId="0" borderId="1" xfId="0" applyFont="1" applyBorder="1" applyAlignment="1">
      <alignment vertical="center" wrapText="1"/>
    </xf>
    <xf numFmtId="0" fontId="11" fillId="0" borderId="1" xfId="0" applyFont="1" applyBorder="1" applyAlignment="1">
      <alignment vertical="center"/>
    </xf>
    <xf numFmtId="3" fontId="47" fillId="0" borderId="1" xfId="3" applyNumberFormat="1" applyFont="1" applyBorder="1" applyAlignment="1">
      <alignment horizontal="right" vertical="center"/>
    </xf>
    <xf numFmtId="0" fontId="65" fillId="0" borderId="0" xfId="0" applyFont="1" applyAlignment="1">
      <alignment horizontal="left"/>
    </xf>
    <xf numFmtId="0" fontId="0" fillId="0" borderId="0" xfId="0" applyAlignment="1">
      <alignment horizontal="left"/>
    </xf>
    <xf numFmtId="0" fontId="66" fillId="0" borderId="0" xfId="0" applyFont="1" applyAlignment="1">
      <alignment horizontal="left" wrapText="1"/>
    </xf>
    <xf numFmtId="0" fontId="66" fillId="0" borderId="0" xfId="0" applyFont="1" applyAlignment="1">
      <alignment horizontal="left"/>
    </xf>
    <xf numFmtId="1" fontId="59" fillId="0" borderId="0" xfId="0" applyNumberFormat="1" applyFont="1" applyAlignment="1">
      <alignment horizontal="center" vertical="center"/>
    </xf>
    <xf numFmtId="1" fontId="65" fillId="0" borderId="0" xfId="0" applyNumberFormat="1" applyFont="1" applyAlignment="1">
      <alignment vertical="center"/>
    </xf>
    <xf numFmtId="0" fontId="65" fillId="0" borderId="0" xfId="0" applyFont="1" applyAlignment="1">
      <alignment horizontal="left" vertical="center"/>
    </xf>
    <xf numFmtId="1" fontId="65" fillId="0" borderId="0" xfId="0" applyNumberFormat="1" applyFont="1" applyAlignment="1">
      <alignment horizontal="left" vertical="center"/>
    </xf>
    <xf numFmtId="0" fontId="41" fillId="0" borderId="0" xfId="0" applyFont="1" applyAlignment="1">
      <alignment horizontal="left" vertical="top" wrapText="1"/>
    </xf>
    <xf numFmtId="168" fontId="66" fillId="0" borderId="0" xfId="0" applyNumberFormat="1" applyFont="1" applyAlignment="1">
      <alignment horizontal="right" vertical="center"/>
    </xf>
    <xf numFmtId="0" fontId="67" fillId="0" borderId="1" xfId="0" applyFont="1" applyBorder="1" applyAlignment="1">
      <alignment horizontal="left"/>
    </xf>
    <xf numFmtId="10" fontId="67" fillId="0" borderId="1" xfId="0" applyNumberFormat="1" applyFont="1" applyBorder="1" applyAlignment="1">
      <alignment horizontal="right"/>
    </xf>
    <xf numFmtId="41" fontId="67" fillId="0" borderId="1" xfId="0" applyNumberFormat="1" applyFont="1" applyBorder="1" applyAlignment="1">
      <alignment horizontal="left"/>
    </xf>
    <xf numFmtId="0" fontId="97" fillId="5" borderId="0" xfId="0" applyFont="1" applyFill="1" applyAlignment="1">
      <alignment horizontal="left"/>
    </xf>
    <xf numFmtId="41" fontId="97" fillId="5" borderId="0" xfId="0" applyNumberFormat="1" applyFont="1" applyFill="1" applyAlignment="1">
      <alignment horizontal="left"/>
    </xf>
    <xf numFmtId="10" fontId="97" fillId="5" borderId="0" xfId="0" applyNumberFormat="1" applyFont="1" applyFill="1" applyAlignment="1">
      <alignment horizontal="right"/>
    </xf>
    <xf numFmtId="0" fontId="98" fillId="0" borderId="0" xfId="0" applyFont="1"/>
    <xf numFmtId="0" fontId="9" fillId="0" borderId="34" xfId="0" applyFont="1" applyBorder="1" applyAlignment="1">
      <alignment horizontal="left" vertical="center"/>
    </xf>
    <xf numFmtId="41" fontId="9" fillId="0" borderId="6" xfId="3" applyFont="1" applyFill="1" applyBorder="1" applyAlignment="1">
      <alignment horizontal="center" vertical="center"/>
    </xf>
    <xf numFmtId="0" fontId="16" fillId="0" borderId="34" xfId="0" applyFont="1" applyBorder="1" applyAlignment="1">
      <alignment vertical="center" wrapText="1"/>
    </xf>
    <xf numFmtId="3" fontId="11" fillId="0" borderId="6" xfId="0" applyNumberFormat="1" applyFont="1" applyBorder="1" applyAlignment="1">
      <alignment vertical="center" wrapText="1"/>
    </xf>
    <xf numFmtId="3" fontId="11" fillId="0" borderId="6" xfId="3" applyNumberFormat="1" applyFont="1" applyBorder="1" applyAlignment="1">
      <alignment vertical="center" wrapText="1"/>
    </xf>
    <xf numFmtId="3" fontId="11" fillId="0" borderId="8" xfId="3" applyNumberFormat="1" applyFont="1" applyBorder="1" applyAlignment="1">
      <alignment vertical="center" wrapText="1"/>
    </xf>
    <xf numFmtId="0" fontId="55" fillId="0" borderId="6" xfId="0" applyFont="1" applyBorder="1" applyAlignment="1">
      <alignment horizontal="center" vertical="center"/>
    </xf>
    <xf numFmtId="0" fontId="101" fillId="0" borderId="0" xfId="0" applyFont="1" applyAlignment="1">
      <alignment horizontal="center"/>
    </xf>
    <xf numFmtId="0" fontId="101" fillId="0" borderId="6" xfId="0" applyFont="1" applyBorder="1" applyAlignment="1">
      <alignment horizontal="center"/>
    </xf>
    <xf numFmtId="41" fontId="101" fillId="0" borderId="0" xfId="8" applyFont="1" applyBorder="1" applyAlignment="1">
      <alignment vertical="center"/>
    </xf>
    <xf numFmtId="3" fontId="101" fillId="0" borderId="0" xfId="0" applyNumberFormat="1" applyFont="1" applyAlignment="1">
      <alignment horizontal="center"/>
    </xf>
    <xf numFmtId="41" fontId="101" fillId="0" borderId="24" xfId="8" applyFont="1" applyFill="1" applyBorder="1" applyAlignment="1">
      <alignment horizontal="center"/>
    </xf>
    <xf numFmtId="0" fontId="55" fillId="0" borderId="2" xfId="0" applyFont="1" applyBorder="1" applyAlignment="1">
      <alignment horizontal="center" vertical="center"/>
    </xf>
    <xf numFmtId="0" fontId="101" fillId="0" borderId="2" xfId="0" applyFont="1" applyBorder="1" applyAlignment="1">
      <alignment horizontal="center"/>
    </xf>
    <xf numFmtId="41" fontId="101" fillId="0" borderId="16" xfId="8" applyFont="1" applyFill="1" applyBorder="1" applyAlignment="1">
      <alignment horizontal="center"/>
    </xf>
    <xf numFmtId="10" fontId="78" fillId="0" borderId="2" xfId="7" applyNumberFormat="1" applyFont="1" applyBorder="1" applyAlignment="1">
      <alignment horizontal="center"/>
    </xf>
    <xf numFmtId="0" fontId="102" fillId="7" borderId="1" xfId="0" applyFont="1" applyFill="1" applyBorder="1" applyAlignment="1">
      <alignment horizontal="center" vertical="center" wrapText="1"/>
    </xf>
    <xf numFmtId="0" fontId="102" fillId="7" borderId="6" xfId="0" applyFont="1" applyFill="1" applyBorder="1" applyAlignment="1">
      <alignment horizontal="center" vertical="center" wrapText="1"/>
    </xf>
    <xf numFmtId="0" fontId="101" fillId="0" borderId="28" xfId="0" applyFont="1" applyBorder="1" applyAlignment="1">
      <alignment horizontal="center"/>
    </xf>
    <xf numFmtId="41" fontId="101" fillId="0" borderId="28" xfId="8" applyFont="1" applyBorder="1" applyAlignment="1">
      <alignment vertical="center"/>
    </xf>
    <xf numFmtId="3" fontId="101" fillId="0" borderId="28" xfId="0" applyNumberFormat="1" applyFont="1" applyBorder="1" applyAlignment="1">
      <alignment horizontal="center"/>
    </xf>
    <xf numFmtId="0" fontId="55" fillId="0" borderId="27" xfId="0" applyFont="1" applyBorder="1" applyAlignment="1">
      <alignment horizontal="center" vertical="center"/>
    </xf>
    <xf numFmtId="0" fontId="101" fillId="0" borderId="20" xfId="0" applyFont="1" applyBorder="1" applyAlignment="1">
      <alignment horizontal="center"/>
    </xf>
    <xf numFmtId="0" fontId="101" fillId="0" borderId="27" xfId="0" applyFont="1" applyBorder="1" applyAlignment="1">
      <alignment horizontal="center"/>
    </xf>
    <xf numFmtId="41" fontId="101" fillId="0" borderId="20" xfId="8" applyFont="1" applyBorder="1" applyAlignment="1">
      <alignment vertical="center"/>
    </xf>
    <xf numFmtId="3" fontId="101" fillId="0" borderId="20" xfId="0" applyNumberFormat="1" applyFont="1" applyBorder="1" applyAlignment="1">
      <alignment horizontal="center"/>
    </xf>
    <xf numFmtId="41" fontId="101" fillId="0" borderId="31" xfId="8" applyFont="1" applyFill="1" applyBorder="1" applyAlignment="1">
      <alignment horizontal="center"/>
    </xf>
    <xf numFmtId="10" fontId="78" fillId="0" borderId="27" xfId="7" applyNumberFormat="1" applyFont="1" applyBorder="1" applyAlignment="1">
      <alignment horizontal="center"/>
    </xf>
    <xf numFmtId="1" fontId="101" fillId="0" borderId="6" xfId="0" applyNumberFormat="1" applyFont="1" applyBorder="1" applyAlignment="1">
      <alignment horizontal="center"/>
    </xf>
    <xf numFmtId="1" fontId="101" fillId="0" borderId="2" xfId="0" applyNumberFormat="1" applyFont="1" applyBorder="1" applyAlignment="1">
      <alignment horizontal="center"/>
    </xf>
    <xf numFmtId="1" fontId="101" fillId="0" borderId="27" xfId="0" applyNumberFormat="1" applyFont="1" applyBorder="1" applyAlignment="1">
      <alignment horizontal="center"/>
    </xf>
    <xf numFmtId="170" fontId="55" fillId="0" borderId="6" xfId="9" applyNumberFormat="1" applyFont="1" applyFill="1" applyBorder="1" applyAlignment="1">
      <alignment horizontal="center" vertical="center"/>
    </xf>
    <xf numFmtId="170" fontId="55" fillId="0" borderId="2" xfId="9" applyNumberFormat="1" applyFont="1" applyFill="1" applyBorder="1" applyAlignment="1">
      <alignment horizontal="center" vertical="center"/>
    </xf>
    <xf numFmtId="0" fontId="55" fillId="0" borderId="2" xfId="0" applyFont="1" applyBorder="1" applyAlignment="1">
      <alignment horizontal="center"/>
    </xf>
    <xf numFmtId="170" fontId="55" fillId="0" borderId="27" xfId="9" applyNumberFormat="1" applyFont="1" applyFill="1" applyBorder="1" applyAlignment="1">
      <alignment horizontal="center" vertical="center"/>
    </xf>
    <xf numFmtId="0" fontId="101" fillId="0" borderId="13" xfId="0" applyFont="1" applyBorder="1" applyAlignment="1">
      <alignment horizontal="center"/>
    </xf>
    <xf numFmtId="0" fontId="55" fillId="0" borderId="1" xfId="0" applyFont="1" applyBorder="1" applyAlignment="1">
      <alignment horizontal="center" vertical="center"/>
    </xf>
    <xf numFmtId="0" fontId="101" fillId="0" borderId="15" xfId="0" applyFont="1" applyBorder="1" applyAlignment="1">
      <alignment horizontal="center"/>
    </xf>
    <xf numFmtId="0" fontId="101" fillId="0" borderId="1" xfId="0" applyFont="1" applyBorder="1" applyAlignment="1">
      <alignment horizontal="center"/>
    </xf>
    <xf numFmtId="41" fontId="101" fillId="0" borderId="15" xfId="8" applyFont="1" applyBorder="1" applyAlignment="1">
      <alignment vertical="center"/>
    </xf>
    <xf numFmtId="3" fontId="101" fillId="0" borderId="15" xfId="0" applyNumberFormat="1" applyFont="1" applyBorder="1" applyAlignment="1">
      <alignment horizontal="center"/>
    </xf>
    <xf numFmtId="41" fontId="101" fillId="0" borderId="13" xfId="8" applyFont="1" applyFill="1" applyBorder="1" applyAlignment="1">
      <alignment horizontal="center"/>
    </xf>
    <xf numFmtId="0" fontId="15" fillId="0" borderId="1" xfId="0" applyFont="1" applyBorder="1" applyAlignment="1">
      <alignment horizontal="center"/>
    </xf>
    <xf numFmtId="41" fontId="101" fillId="0" borderId="1" xfId="8" applyFont="1" applyBorder="1" applyAlignment="1">
      <alignment vertical="center"/>
    </xf>
    <xf numFmtId="0" fontId="0" fillId="0" borderId="1" xfId="0" applyBorder="1" applyAlignment="1">
      <alignment horizontal="center"/>
    </xf>
    <xf numFmtId="3" fontId="101" fillId="0" borderId="1" xfId="0" applyNumberFormat="1" applyFont="1" applyBorder="1" applyAlignment="1">
      <alignment horizontal="center"/>
    </xf>
    <xf numFmtId="41" fontId="101" fillId="0" borderId="1" xfId="8" applyFont="1" applyFill="1" applyBorder="1" applyAlignment="1">
      <alignment horizontal="center"/>
    </xf>
    <xf numFmtId="41" fontId="97" fillId="5" borderId="1" xfId="8" applyFont="1" applyFill="1" applyBorder="1" applyAlignment="1">
      <alignment horizontal="left"/>
    </xf>
    <xf numFmtId="41" fontId="97" fillId="5" borderId="1" xfId="0" applyNumberFormat="1" applyFont="1" applyFill="1" applyBorder="1" applyAlignment="1">
      <alignment horizontal="left"/>
    </xf>
    <xf numFmtId="10" fontId="97" fillId="0" borderId="0" xfId="0" applyNumberFormat="1" applyFont="1" applyAlignment="1">
      <alignment horizontal="right"/>
    </xf>
    <xf numFmtId="9" fontId="97" fillId="5" borderId="1" xfId="7" applyFont="1" applyFill="1" applyBorder="1" applyAlignment="1">
      <alignment horizontal="center"/>
    </xf>
    <xf numFmtId="0" fontId="103" fillId="7" borderId="1" xfId="0" applyFont="1" applyFill="1" applyBorder="1" applyAlignment="1">
      <alignment horizontal="center"/>
    </xf>
    <xf numFmtId="41" fontId="67" fillId="0" borderId="1" xfId="8" applyFont="1" applyFill="1" applyBorder="1" applyAlignment="1">
      <alignment horizontal="right"/>
    </xf>
    <xf numFmtId="10" fontId="67" fillId="0" borderId="1" xfId="7" applyNumberFormat="1" applyFont="1" applyFill="1" applyBorder="1" applyAlignment="1">
      <alignment horizontal="right"/>
    </xf>
    <xf numFmtId="0" fontId="104" fillId="0" borderId="0" xfId="0" applyFont="1" applyAlignment="1">
      <alignment horizontal="center"/>
    </xf>
    <xf numFmtId="0" fontId="104" fillId="0" borderId="0" xfId="0" applyFont="1" applyAlignment="1">
      <alignment horizontal="center" vertical="top" wrapText="1"/>
    </xf>
    <xf numFmtId="0" fontId="105" fillId="7" borderId="1" xfId="0" applyFont="1" applyFill="1" applyBorder="1" applyAlignment="1">
      <alignment horizontal="center" vertical="center" wrapText="1"/>
    </xf>
    <xf numFmtId="0" fontId="0" fillId="9" borderId="39" xfId="0" applyFill="1" applyBorder="1" applyAlignment="1">
      <alignment vertical="center"/>
    </xf>
    <xf numFmtId="0" fontId="0" fillId="9" borderId="15" xfId="0" applyFill="1" applyBorder="1" applyAlignment="1">
      <alignment vertical="center"/>
    </xf>
    <xf numFmtId="0" fontId="104" fillId="0" borderId="1" xfId="0" applyFont="1" applyBorder="1" applyAlignment="1">
      <alignment horizontal="center"/>
    </xf>
    <xf numFmtId="3" fontId="11" fillId="0" borderId="1" xfId="0" applyNumberFormat="1" applyFont="1" applyBorder="1" applyAlignment="1">
      <alignment horizontal="right" vertical="center"/>
    </xf>
    <xf numFmtId="41" fontId="31" fillId="0" borderId="1" xfId="3" applyFont="1" applyBorder="1" applyAlignment="1">
      <alignment horizontal="right" vertical="center" wrapText="1"/>
    </xf>
    <xf numFmtId="49" fontId="31" fillId="0" borderId="1" xfId="0" applyNumberFormat="1" applyFont="1" applyBorder="1" applyAlignment="1">
      <alignment vertical="center" wrapText="1"/>
    </xf>
    <xf numFmtId="165" fontId="28" fillId="0" borderId="1" xfId="2" applyNumberFormat="1" applyFont="1" applyFill="1" applyBorder="1" applyAlignment="1">
      <alignment horizontal="right" vertical="center" wrapText="1"/>
    </xf>
    <xf numFmtId="49" fontId="31" fillId="0" borderId="27" xfId="0" applyNumberFormat="1" applyFont="1" applyBorder="1" applyAlignment="1">
      <alignment vertical="center" wrapText="1"/>
    </xf>
    <xf numFmtId="165" fontId="28" fillId="0" borderId="27" xfId="2" applyNumberFormat="1" applyFont="1" applyFill="1" applyBorder="1" applyAlignment="1">
      <alignment horizontal="right" vertical="center" wrapText="1"/>
    </xf>
    <xf numFmtId="49" fontId="31" fillId="0" borderId="6" xfId="0" applyNumberFormat="1" applyFont="1" applyBorder="1" applyAlignment="1">
      <alignment vertical="center" wrapText="1"/>
    </xf>
    <xf numFmtId="165" fontId="28" fillId="0" borderId="6" xfId="2" applyNumberFormat="1" applyFont="1" applyFill="1" applyBorder="1" applyAlignment="1">
      <alignment horizontal="right" vertical="center" wrapText="1"/>
    </xf>
    <xf numFmtId="165" fontId="28" fillId="0" borderId="6" xfId="2" applyNumberFormat="1" applyFont="1" applyBorder="1" applyAlignment="1">
      <alignment horizontal="right" vertical="center" wrapText="1"/>
    </xf>
    <xf numFmtId="0" fontId="28" fillId="0" borderId="10" xfId="0" applyFont="1" applyBorder="1" applyAlignment="1">
      <alignment vertical="center" wrapText="1"/>
    </xf>
    <xf numFmtId="165" fontId="28" fillId="0" borderId="3" xfId="2" applyNumberFormat="1" applyFont="1" applyFill="1" applyBorder="1" applyAlignment="1">
      <alignment horizontal="right" vertical="center" wrapText="1"/>
    </xf>
    <xf numFmtId="0" fontId="70" fillId="0" borderId="1" xfId="0" applyFont="1" applyBorder="1"/>
    <xf numFmtId="3" fontId="0" fillId="0" borderId="1" xfId="0" applyNumberFormat="1" applyBorder="1" applyAlignment="1">
      <alignment horizontal="right"/>
    </xf>
    <xf numFmtId="14" fontId="106" fillId="0" borderId="1" xfId="0" applyNumberFormat="1" applyFont="1" applyBorder="1"/>
    <xf numFmtId="169" fontId="15" fillId="0" borderId="1" xfId="0" applyNumberFormat="1" applyFont="1" applyBorder="1"/>
    <xf numFmtId="0" fontId="82" fillId="6" borderId="24" xfId="0" applyFont="1" applyFill="1" applyBorder="1" applyAlignment="1">
      <alignment horizontal="center" vertical="center" wrapText="1"/>
    </xf>
    <xf numFmtId="0" fontId="63" fillId="6" borderId="28" xfId="0" applyFont="1" applyFill="1" applyBorder="1" applyAlignment="1">
      <alignment horizontal="center" vertical="center"/>
    </xf>
    <xf numFmtId="0" fontId="63" fillId="6" borderId="29" xfId="0" applyFont="1" applyFill="1" applyBorder="1" applyAlignment="1">
      <alignment horizontal="center" vertical="center"/>
    </xf>
    <xf numFmtId="0" fontId="63" fillId="6" borderId="16" xfId="0" applyFont="1" applyFill="1" applyBorder="1" applyAlignment="1">
      <alignment horizontal="center" vertical="center"/>
    </xf>
    <xf numFmtId="0" fontId="63" fillId="6" borderId="0" xfId="0" applyFont="1" applyFill="1" applyAlignment="1">
      <alignment horizontal="center" vertical="center"/>
    </xf>
    <xf numFmtId="0" fontId="63" fillId="6" borderId="30" xfId="0" applyFont="1" applyFill="1" applyBorder="1" applyAlignment="1">
      <alignment horizontal="center" vertical="center"/>
    </xf>
    <xf numFmtId="0" fontId="63" fillId="6" borderId="31" xfId="0" applyFont="1" applyFill="1" applyBorder="1" applyAlignment="1">
      <alignment horizontal="center" vertical="center"/>
    </xf>
    <xf numFmtId="0" fontId="63" fillId="6" borderId="20" xfId="0" applyFont="1" applyFill="1" applyBorder="1" applyAlignment="1">
      <alignment horizontal="center" vertical="center"/>
    </xf>
    <xf numFmtId="0" fontId="63" fillId="6" borderId="32" xfId="0" applyFont="1" applyFill="1" applyBorder="1" applyAlignment="1">
      <alignment horizontal="center" vertical="center"/>
    </xf>
    <xf numFmtId="0" fontId="66" fillId="0" borderId="0" xfId="0" applyFont="1" applyAlignment="1">
      <alignment horizontal="left"/>
    </xf>
    <xf numFmtId="0" fontId="75" fillId="0" borderId="0" xfId="0" applyFont="1" applyAlignment="1">
      <alignment horizontal="left"/>
    </xf>
    <xf numFmtId="0" fontId="40" fillId="0" borderId="0" xfId="0" applyFont="1" applyAlignment="1">
      <alignment horizontal="center" vertical="top" wrapText="1"/>
    </xf>
    <xf numFmtId="0" fontId="79" fillId="0" borderId="0" xfId="0" applyFont="1" applyAlignment="1">
      <alignment horizontal="left" vertical="center"/>
    </xf>
    <xf numFmtId="0" fontId="21" fillId="9" borderId="0" xfId="0" applyFont="1" applyFill="1" applyAlignment="1">
      <alignment horizontal="left" vertical="top" wrapText="1"/>
    </xf>
    <xf numFmtId="0" fontId="66" fillId="0" borderId="0" xfId="0" applyFont="1" applyAlignment="1">
      <alignment horizontal="left" wrapText="1"/>
    </xf>
    <xf numFmtId="0" fontId="66" fillId="0" borderId="0" xfId="0" applyFont="1" applyAlignment="1">
      <alignment horizontal="left" vertical="center" wrapText="1"/>
    </xf>
    <xf numFmtId="0" fontId="65" fillId="0" borderId="0" xfId="0" applyFont="1" applyAlignment="1">
      <alignment horizontal="left"/>
    </xf>
    <xf numFmtId="0" fontId="0" fillId="0" borderId="0" xfId="0" applyAlignment="1">
      <alignment horizontal="left"/>
    </xf>
    <xf numFmtId="0" fontId="66" fillId="0" borderId="13" xfId="0" applyFont="1" applyBorder="1" applyAlignment="1">
      <alignment horizontal="left"/>
    </xf>
    <xf numFmtId="0" fontId="66" fillId="0" borderId="14" xfId="0" applyFont="1" applyBorder="1" applyAlignment="1">
      <alignment horizontal="left"/>
    </xf>
    <xf numFmtId="0" fontId="0" fillId="0" borderId="14" xfId="0" applyBorder="1" applyAlignment="1">
      <alignment horizontal="left"/>
    </xf>
    <xf numFmtId="0" fontId="97" fillId="5" borderId="13" xfId="0" applyFont="1" applyFill="1" applyBorder="1" applyAlignment="1">
      <alignment horizontal="center"/>
    </xf>
    <xf numFmtId="0" fontId="97" fillId="5" borderId="15" xfId="0" applyFont="1" applyFill="1" applyBorder="1" applyAlignment="1">
      <alignment horizontal="center"/>
    </xf>
    <xf numFmtId="0" fontId="97" fillId="5" borderId="14" xfId="0" applyFont="1" applyFill="1" applyBorder="1" applyAlignment="1">
      <alignment horizontal="center"/>
    </xf>
    <xf numFmtId="0" fontId="94" fillId="7" borderId="16" xfId="0" applyFont="1" applyFill="1" applyBorder="1" applyAlignment="1">
      <alignment horizontal="center"/>
    </xf>
    <xf numFmtId="0" fontId="94" fillId="7" borderId="0" xfId="0" applyFont="1" applyFill="1" applyAlignment="1">
      <alignment horizontal="center"/>
    </xf>
    <xf numFmtId="0" fontId="65" fillId="0" borderId="0" xfId="0" applyFont="1" applyAlignment="1">
      <alignment horizontal="center"/>
    </xf>
    <xf numFmtId="0" fontId="20" fillId="9" borderId="0" xfId="0" applyFont="1" applyFill="1" applyAlignment="1">
      <alignment horizontal="left" vertical="top" wrapText="1"/>
    </xf>
    <xf numFmtId="0" fontId="57" fillId="0" borderId="0" xfId="0" applyFont="1" applyAlignment="1">
      <alignment horizontal="left" vertical="center" wrapText="1"/>
    </xf>
    <xf numFmtId="0" fontId="78" fillId="0" borderId="1" xfId="0" applyFont="1" applyBorder="1" applyAlignment="1">
      <alignment horizontal="center"/>
    </xf>
    <xf numFmtId="0" fontId="101" fillId="0" borderId="35" xfId="0" applyFont="1" applyBorder="1" applyAlignment="1">
      <alignment horizontal="center" vertical="top"/>
    </xf>
    <xf numFmtId="0" fontId="78" fillId="0" borderId="6" xfId="0" applyFont="1" applyBorder="1" applyAlignment="1">
      <alignment horizontal="center"/>
    </xf>
    <xf numFmtId="0" fontId="78" fillId="0" borderId="2" xfId="0" applyFont="1" applyBorder="1" applyAlignment="1">
      <alignment horizontal="center"/>
    </xf>
    <xf numFmtId="0" fontId="78" fillId="0" borderId="27" xfId="0" applyFont="1" applyBorder="1" applyAlignment="1">
      <alignment horizontal="center"/>
    </xf>
    <xf numFmtId="0" fontId="101" fillId="0" borderId="6" xfId="0" applyFont="1" applyBorder="1" applyAlignment="1">
      <alignment horizontal="center" vertical="top"/>
    </xf>
    <xf numFmtId="0" fontId="101" fillId="0" borderId="2" xfId="0" applyFont="1" applyBorder="1" applyAlignment="1">
      <alignment horizontal="center" vertical="top"/>
    </xf>
    <xf numFmtId="0" fontId="101" fillId="0" borderId="27" xfId="0" applyFont="1" applyBorder="1" applyAlignment="1">
      <alignment horizontal="center" vertical="top"/>
    </xf>
    <xf numFmtId="0" fontId="78" fillId="0" borderId="29" xfId="0" applyFont="1" applyBorder="1" applyAlignment="1">
      <alignment horizontal="center"/>
    </xf>
    <xf numFmtId="0" fontId="78" fillId="0" borderId="30" xfId="0" applyFont="1" applyBorder="1" applyAlignment="1">
      <alignment horizontal="center"/>
    </xf>
    <xf numFmtId="0" fontId="101" fillId="0" borderId="24" xfId="0" applyFont="1" applyBorder="1" applyAlignment="1">
      <alignment horizontal="center" vertical="top"/>
    </xf>
    <xf numFmtId="0" fontId="101" fillId="0" borderId="16" xfId="0" applyFont="1" applyBorder="1" applyAlignment="1">
      <alignment horizontal="center" vertical="top"/>
    </xf>
    <xf numFmtId="0" fontId="101" fillId="0" borderId="31" xfId="0" applyFont="1" applyBorder="1" applyAlignment="1">
      <alignment horizontal="center" vertical="top"/>
    </xf>
    <xf numFmtId="0" fontId="78" fillId="0" borderId="36" xfId="0" applyFont="1" applyBorder="1" applyAlignment="1">
      <alignment horizontal="center"/>
    </xf>
    <xf numFmtId="0" fontId="78" fillId="0" borderId="37" xfId="0" applyFont="1" applyBorder="1" applyAlignment="1">
      <alignment horizontal="center"/>
    </xf>
    <xf numFmtId="0" fontId="78" fillId="0" borderId="38" xfId="0" applyFont="1" applyBorder="1" applyAlignment="1">
      <alignment horizontal="center"/>
    </xf>
    <xf numFmtId="0" fontId="104" fillId="0" borderId="30" xfId="0" applyFont="1" applyBorder="1" applyAlignment="1">
      <alignment horizontal="center"/>
    </xf>
    <xf numFmtId="0" fontId="68" fillId="5" borderId="0" xfId="0" applyFont="1" applyFill="1" applyAlignment="1">
      <alignment horizontal="left" vertical="center"/>
    </xf>
    <xf numFmtId="0" fontId="93" fillId="7" borderId="25" xfId="0" applyFont="1" applyFill="1" applyBorder="1" applyAlignment="1">
      <alignment horizontal="center" vertical="center" wrapText="1"/>
    </xf>
    <xf numFmtId="0" fontId="93" fillId="7" borderId="26" xfId="0" applyFont="1" applyFill="1" applyBorder="1" applyAlignment="1">
      <alignment horizontal="center" vertical="center" wrapText="1"/>
    </xf>
    <xf numFmtId="0" fontId="58" fillId="0" borderId="0" xfId="0" applyFont="1" applyAlignment="1">
      <alignment horizontal="center" vertical="center" wrapText="1"/>
    </xf>
    <xf numFmtId="3" fontId="93" fillId="7" borderId="25" xfId="0" applyNumberFormat="1" applyFont="1" applyFill="1" applyBorder="1" applyAlignment="1">
      <alignment horizontal="center" vertical="center" wrapText="1"/>
    </xf>
    <xf numFmtId="3" fontId="93" fillId="7" borderId="26" xfId="0" applyNumberFormat="1" applyFont="1" applyFill="1" applyBorder="1" applyAlignment="1">
      <alignment horizontal="center" vertical="center" wrapText="1"/>
    </xf>
    <xf numFmtId="0" fontId="95" fillId="7" borderId="23" xfId="0" applyFont="1" applyFill="1" applyBorder="1" applyAlignment="1">
      <alignment vertical="center" wrapText="1"/>
    </xf>
    <xf numFmtId="0" fontId="95" fillId="7" borderId="1" xfId="0" applyFont="1" applyFill="1" applyBorder="1" applyAlignment="1">
      <alignment vertical="center" wrapText="1"/>
    </xf>
    <xf numFmtId="0" fontId="92" fillId="7" borderId="23" xfId="0" applyFont="1" applyFill="1" applyBorder="1" applyAlignment="1">
      <alignment horizontal="center" vertical="center" wrapText="1"/>
    </xf>
    <xf numFmtId="0" fontId="92" fillId="7" borderId="1" xfId="0" applyFont="1" applyFill="1" applyBorder="1" applyAlignment="1">
      <alignment horizontal="center" vertical="center" wrapText="1"/>
    </xf>
    <xf numFmtId="0" fontId="92" fillId="7" borderId="21" xfId="0" applyFont="1" applyFill="1" applyBorder="1" applyAlignment="1">
      <alignment horizontal="center" vertical="center" wrapText="1"/>
    </xf>
    <xf numFmtId="0" fontId="92" fillId="7" borderId="5" xfId="0" applyFont="1" applyFill="1" applyBorder="1" applyAlignment="1">
      <alignment horizontal="center" vertical="center" wrapText="1"/>
    </xf>
    <xf numFmtId="0" fontId="20" fillId="0" borderId="11" xfId="0" applyFont="1" applyBorder="1" applyAlignment="1">
      <alignment vertical="center" wrapText="1"/>
    </xf>
    <xf numFmtId="0" fontId="20" fillId="0" borderId="19" xfId="0" applyFont="1" applyBorder="1" applyAlignment="1">
      <alignment vertical="center" wrapText="1"/>
    </xf>
    <xf numFmtId="3" fontId="3" fillId="0" borderId="11" xfId="0" applyNumberFormat="1" applyFont="1" applyBorder="1" applyAlignment="1">
      <alignment horizontal="right" vertical="center" wrapText="1"/>
    </xf>
    <xf numFmtId="3" fontId="3" fillId="0" borderId="19" xfId="0" applyNumberFormat="1" applyFont="1" applyBorder="1" applyAlignment="1">
      <alignment horizontal="right" vertical="center" wrapText="1"/>
    </xf>
    <xf numFmtId="0" fontId="3" fillId="0" borderId="11" xfId="0" applyFont="1" applyBorder="1" applyAlignment="1">
      <alignment horizontal="left" vertical="center" wrapText="1"/>
    </xf>
    <xf numFmtId="0" fontId="3" fillId="0" borderId="19" xfId="0" applyFont="1" applyBorder="1" applyAlignment="1">
      <alignment horizontal="left" vertical="center" wrapText="1"/>
    </xf>
    <xf numFmtId="3" fontId="3" fillId="9" borderId="11" xfId="0" applyNumberFormat="1" applyFont="1" applyFill="1" applyBorder="1" applyAlignment="1">
      <alignment horizontal="right" vertical="center" wrapText="1"/>
    </xf>
    <xf numFmtId="3" fontId="3" fillId="9" borderId="19" xfId="0" applyNumberFormat="1" applyFont="1" applyFill="1" applyBorder="1" applyAlignment="1">
      <alignment horizontal="right" vertical="center" wrapText="1"/>
    </xf>
    <xf numFmtId="0" fontId="95" fillId="7" borderId="22" xfId="0" applyFont="1" applyFill="1" applyBorder="1" applyAlignment="1">
      <alignment vertical="center" wrapText="1"/>
    </xf>
    <xf numFmtId="0" fontId="95" fillId="7" borderId="4" xfId="0" applyFont="1" applyFill="1" applyBorder="1" applyAlignment="1">
      <alignment vertical="center" wrapText="1"/>
    </xf>
    <xf numFmtId="3" fontId="92" fillId="7" borderId="23" xfId="0" applyNumberFormat="1" applyFont="1" applyFill="1" applyBorder="1" applyAlignment="1">
      <alignment horizontal="center" vertical="center" wrapText="1"/>
    </xf>
    <xf numFmtId="3" fontId="92" fillId="7" borderId="1" xfId="0" applyNumberFormat="1" applyFont="1" applyFill="1" applyBorder="1" applyAlignment="1">
      <alignment horizontal="center" vertical="center" wrapText="1"/>
    </xf>
    <xf numFmtId="0" fontId="24" fillId="0" borderId="0" xfId="0" applyFont="1" applyAlignment="1">
      <alignment horizontal="center" vertical="center" wrapText="1"/>
    </xf>
    <xf numFmtId="0" fontId="19" fillId="0" borderId="0" xfId="0" applyFont="1" applyAlignment="1">
      <alignment horizontal="center" vertical="center"/>
    </xf>
    <xf numFmtId="0" fontId="87" fillId="7" borderId="1" xfId="0" applyFont="1" applyFill="1" applyBorder="1" applyAlignment="1">
      <alignment horizontal="center" vertical="center" wrapText="1"/>
    </xf>
    <xf numFmtId="0" fontId="30" fillId="0" borderId="0" xfId="0" applyFont="1" applyAlignment="1">
      <alignment horizontal="center" vertical="center"/>
    </xf>
    <xf numFmtId="0" fontId="60" fillId="0" borderId="0" xfId="0" applyFont="1" applyAlignment="1">
      <alignment horizontal="center" vertical="center"/>
    </xf>
    <xf numFmtId="0" fontId="61" fillId="0" borderId="0" xfId="0" applyFont="1" applyAlignment="1">
      <alignment horizontal="center" vertical="center"/>
    </xf>
    <xf numFmtId="0" fontId="24" fillId="0" borderId="0" xfId="0" applyFont="1" applyAlignment="1">
      <alignment horizontal="center" vertical="center"/>
    </xf>
    <xf numFmtId="0" fontId="32" fillId="0" borderId="1" xfId="0" applyFont="1" applyBorder="1" applyAlignment="1">
      <alignment vertical="center" wrapText="1"/>
    </xf>
    <xf numFmtId="3" fontId="32" fillId="0" borderId="1" xfId="0" applyNumberFormat="1" applyFont="1" applyBorder="1" applyAlignment="1">
      <alignment horizontal="right" vertical="center"/>
    </xf>
    <xf numFmtId="0" fontId="68" fillId="0" borderId="0" xfId="0" applyFont="1" applyAlignment="1">
      <alignment horizontal="left" vertical="center"/>
    </xf>
    <xf numFmtId="0" fontId="71" fillId="0" borderId="0" xfId="0" applyFont="1" applyAlignment="1">
      <alignment horizontal="left" vertical="center"/>
    </xf>
    <xf numFmtId="0" fontId="90" fillId="7" borderId="1" xfId="0" applyFont="1" applyFill="1" applyBorder="1" applyAlignment="1">
      <alignment horizontal="center" vertical="center" wrapText="1"/>
    </xf>
    <xf numFmtId="0" fontId="70" fillId="0" borderId="0" xfId="0" applyFont="1" applyAlignment="1">
      <alignment horizontal="left" vertical="center" wrapText="1"/>
    </xf>
    <xf numFmtId="0" fontId="89" fillId="7" borderId="1" xfId="0" applyFont="1" applyFill="1" applyBorder="1" applyAlignment="1">
      <alignment horizontal="justify" vertical="center" wrapText="1"/>
    </xf>
    <xf numFmtId="0" fontId="90" fillId="7" borderId="6" xfId="0" applyFont="1" applyFill="1" applyBorder="1" applyAlignment="1">
      <alignment horizontal="center" vertical="center" wrapText="1"/>
    </xf>
    <xf numFmtId="0" fontId="90" fillId="7" borderId="2" xfId="0" applyFont="1" applyFill="1" applyBorder="1" applyAlignment="1">
      <alignment horizontal="center" vertical="center" wrapText="1"/>
    </xf>
    <xf numFmtId="0" fontId="90" fillId="7" borderId="27" xfId="0" applyFont="1" applyFill="1" applyBorder="1" applyAlignment="1">
      <alignment horizontal="center" vertical="center" wrapText="1"/>
    </xf>
    <xf numFmtId="0" fontId="70" fillId="0" borderId="0" xfId="0" applyFont="1" applyAlignment="1">
      <alignment horizontal="left" vertical="center"/>
    </xf>
    <xf numFmtId="0" fontId="85" fillId="7" borderId="1" xfId="0" applyFont="1" applyFill="1" applyBorder="1" applyAlignment="1">
      <alignment horizontal="center" vertical="center"/>
    </xf>
    <xf numFmtId="0" fontId="85" fillId="7" borderId="1" xfId="0" applyFont="1" applyFill="1" applyBorder="1" applyAlignment="1">
      <alignment horizontal="center" vertical="center" wrapText="1"/>
    </xf>
    <xf numFmtId="0" fontId="88" fillId="7" borderId="1" xfId="0" applyFont="1" applyFill="1" applyBorder="1" applyAlignment="1">
      <alignment horizontal="center" vertical="center"/>
    </xf>
    <xf numFmtId="0" fontId="28" fillId="3" borderId="1" xfId="0" applyFont="1" applyFill="1" applyBorder="1" applyAlignment="1">
      <alignment horizontal="center" vertical="center" wrapText="1"/>
    </xf>
    <xf numFmtId="0" fontId="87" fillId="7" borderId="1" xfId="0" applyFont="1" applyFill="1" applyBorder="1" applyAlignment="1">
      <alignment vertical="center" wrapText="1"/>
    </xf>
    <xf numFmtId="0" fontId="28" fillId="0" borderId="1" xfId="0" applyFont="1" applyBorder="1" applyAlignment="1">
      <alignment vertical="center" wrapText="1"/>
    </xf>
    <xf numFmtId="0" fontId="68" fillId="0" borderId="0" xfId="0" applyFont="1" applyAlignment="1">
      <alignment horizontal="left" vertical="center" wrapText="1"/>
    </xf>
    <xf numFmtId="0" fontId="87" fillId="7" borderId="1" xfId="0" applyFont="1" applyFill="1" applyBorder="1" applyAlignment="1">
      <alignment horizontal="center" vertical="center"/>
    </xf>
    <xf numFmtId="0" fontId="87" fillId="8" borderId="6" xfId="0" applyFont="1" applyFill="1" applyBorder="1" applyAlignment="1">
      <alignment horizontal="center" vertical="center" wrapText="1"/>
    </xf>
    <xf numFmtId="0" fontId="87" fillId="8" borderId="27" xfId="0" applyFont="1" applyFill="1" applyBorder="1" applyAlignment="1">
      <alignment horizontal="center" vertical="center" wrapText="1"/>
    </xf>
    <xf numFmtId="0" fontId="89" fillId="7" borderId="33" xfId="0" applyFont="1" applyFill="1" applyBorder="1" applyAlignment="1">
      <alignment horizontal="center" vertical="center"/>
    </xf>
    <xf numFmtId="0" fontId="68" fillId="0" borderId="0" xfId="0" applyFont="1" applyAlignment="1">
      <alignment horizontal="left" wrapText="1"/>
    </xf>
    <xf numFmtId="0" fontId="87" fillId="7" borderId="11" xfId="0" applyFont="1" applyFill="1" applyBorder="1" applyAlignment="1">
      <alignment horizontal="center" vertical="center" wrapText="1"/>
    </xf>
    <xf numFmtId="0" fontId="87" fillId="7" borderId="19" xfId="0" applyFont="1" applyFill="1" applyBorder="1" applyAlignment="1">
      <alignment horizontal="center" vertical="center" wrapText="1"/>
    </xf>
    <xf numFmtId="0" fontId="73" fillId="0" borderId="0" xfId="0" applyFont="1" applyAlignment="1">
      <alignment horizontal="justify"/>
    </xf>
    <xf numFmtId="0" fontId="83" fillId="7" borderId="16" xfId="0" applyFont="1" applyFill="1" applyBorder="1" applyAlignment="1">
      <alignment horizontal="center" wrapText="1"/>
    </xf>
    <xf numFmtId="0" fontId="83" fillId="7" borderId="0" xfId="0" applyFont="1" applyFill="1" applyAlignment="1">
      <alignment horizontal="center" wrapText="1"/>
    </xf>
  </cellXfs>
  <cellStyles count="10">
    <cellStyle name="Énfasis6" xfId="9" builtinId="49"/>
    <cellStyle name="Excel Built-in Normal" xfId="1" xr:uid="{00000000-0005-0000-0000-000001000000}"/>
    <cellStyle name="Millares" xfId="2" builtinId="3"/>
    <cellStyle name="Millares [0]" xfId="3" builtinId="6"/>
    <cellStyle name="Millares [0] 2" xfId="8" xr:uid="{00000000-0005-0000-0000-000004000000}"/>
    <cellStyle name="Millares 2" xfId="4" xr:uid="{00000000-0005-0000-0000-000005000000}"/>
    <cellStyle name="Millares 3" xfId="5" xr:uid="{00000000-0005-0000-0000-000006000000}"/>
    <cellStyle name="Normal" xfId="0" builtinId="0"/>
    <cellStyle name="Normal 2" xfId="6" xr:uid="{00000000-0005-0000-0000-000008000000}"/>
    <cellStyle name="Porcentaje" xfId="7"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300789</xdr:colOff>
      <xdr:row>6</xdr:row>
      <xdr:rowOff>150395</xdr:rowOff>
    </xdr:from>
    <xdr:to>
      <xdr:col>5</xdr:col>
      <xdr:colOff>886326</xdr:colOff>
      <xdr:row>11</xdr:row>
      <xdr:rowOff>34190</xdr:rowOff>
    </xdr:to>
    <xdr:pic>
      <xdr:nvPicPr>
        <xdr:cNvPr id="5" name="Imagen 4">
          <a:extLst>
            <a:ext uri="{FF2B5EF4-FFF2-40B4-BE49-F238E27FC236}">
              <a16:creationId xmlns:a16="http://schemas.microsoft.com/office/drawing/2014/main" id="{90E2FC42-CFBE-440B-9A4C-AF50D9044B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3842" y="1283369"/>
          <a:ext cx="3543300" cy="83629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pageSetUpPr fitToPage="1"/>
  </sheetPr>
  <dimension ref="C4:G27"/>
  <sheetViews>
    <sheetView showGridLines="0" zoomScale="95" zoomScaleNormal="95" workbookViewId="0">
      <selection activeCell="A2" sqref="A2"/>
    </sheetView>
  </sheetViews>
  <sheetFormatPr baseColWidth="10" defaultColWidth="10.7109375" defaultRowHeight="15"/>
  <cols>
    <col min="1" max="1" width="1.5703125" customWidth="1"/>
    <col min="2" max="2" width="2" customWidth="1"/>
    <col min="3" max="3" width="14" customWidth="1"/>
    <col min="4" max="4" width="20.5703125" customWidth="1"/>
    <col min="5" max="5" width="23.7109375" customWidth="1"/>
    <col min="6" max="6" width="36.28515625" customWidth="1"/>
    <col min="7" max="7" width="25.5703125" hidden="1" customWidth="1"/>
  </cols>
  <sheetData>
    <row r="4" spans="3:7" ht="14.65" customHeight="1">
      <c r="C4" s="387" t="s">
        <v>429</v>
      </c>
      <c r="D4" s="388"/>
      <c r="E4" s="388"/>
      <c r="F4" s="388"/>
      <c r="G4" s="389"/>
    </row>
    <row r="5" spans="3:7">
      <c r="C5" s="390"/>
      <c r="D5" s="391"/>
      <c r="E5" s="391"/>
      <c r="F5" s="391"/>
      <c r="G5" s="392"/>
    </row>
    <row r="6" spans="3:7">
      <c r="C6" s="390"/>
      <c r="D6" s="391"/>
      <c r="E6" s="391"/>
      <c r="F6" s="391"/>
      <c r="G6" s="392"/>
    </row>
    <row r="7" spans="3:7">
      <c r="C7" s="390"/>
      <c r="D7" s="391"/>
      <c r="E7" s="391"/>
      <c r="F7" s="391"/>
      <c r="G7" s="392"/>
    </row>
    <row r="8" spans="3:7">
      <c r="C8" s="390"/>
      <c r="D8" s="391"/>
      <c r="E8" s="391"/>
      <c r="F8" s="391"/>
      <c r="G8" s="392"/>
    </row>
    <row r="9" spans="3:7">
      <c r="C9" s="390"/>
      <c r="D9" s="391"/>
      <c r="E9" s="391"/>
      <c r="F9" s="391"/>
      <c r="G9" s="392"/>
    </row>
    <row r="10" spans="3:7">
      <c r="C10" s="390"/>
      <c r="D10" s="391"/>
      <c r="E10" s="391"/>
      <c r="F10" s="391"/>
      <c r="G10" s="392"/>
    </row>
    <row r="11" spans="3:7">
      <c r="C11" s="390"/>
      <c r="D11" s="391"/>
      <c r="E11" s="391"/>
      <c r="F11" s="391"/>
      <c r="G11" s="392"/>
    </row>
    <row r="12" spans="3:7">
      <c r="C12" s="390"/>
      <c r="D12" s="391"/>
      <c r="E12" s="391"/>
      <c r="F12" s="391"/>
      <c r="G12" s="392"/>
    </row>
    <row r="13" spans="3:7">
      <c r="C13" s="390"/>
      <c r="D13" s="391"/>
      <c r="E13" s="391"/>
      <c r="F13" s="391"/>
      <c r="G13" s="392"/>
    </row>
    <row r="14" spans="3:7">
      <c r="C14" s="390"/>
      <c r="D14" s="391"/>
      <c r="E14" s="391"/>
      <c r="F14" s="391"/>
      <c r="G14" s="392"/>
    </row>
    <row r="15" spans="3:7">
      <c r="C15" s="390"/>
      <c r="D15" s="391"/>
      <c r="E15" s="391"/>
      <c r="F15" s="391"/>
      <c r="G15" s="392"/>
    </row>
    <row r="16" spans="3:7">
      <c r="C16" s="390"/>
      <c r="D16" s="391"/>
      <c r="E16" s="391"/>
      <c r="F16" s="391"/>
      <c r="G16" s="392"/>
    </row>
    <row r="17" spans="3:7">
      <c r="C17" s="390"/>
      <c r="D17" s="391"/>
      <c r="E17" s="391"/>
      <c r="F17" s="391"/>
      <c r="G17" s="392"/>
    </row>
    <row r="18" spans="3:7" ht="1.9" customHeight="1">
      <c r="C18" s="390"/>
      <c r="D18" s="391"/>
      <c r="E18" s="391"/>
      <c r="F18" s="391"/>
      <c r="G18" s="392"/>
    </row>
    <row r="19" spans="3:7">
      <c r="C19" s="390"/>
      <c r="D19" s="391"/>
      <c r="E19" s="391"/>
      <c r="F19" s="391"/>
      <c r="G19" s="392"/>
    </row>
    <row r="20" spans="3:7">
      <c r="C20" s="390"/>
      <c r="D20" s="391"/>
      <c r="E20" s="391"/>
      <c r="F20" s="391"/>
      <c r="G20" s="392"/>
    </row>
    <row r="21" spans="3:7">
      <c r="C21" s="390"/>
      <c r="D21" s="391"/>
      <c r="E21" s="391"/>
      <c r="F21" s="391"/>
      <c r="G21" s="392"/>
    </row>
    <row r="22" spans="3:7" ht="9.6" customHeight="1">
      <c r="C22" s="390"/>
      <c r="D22" s="391"/>
      <c r="E22" s="391"/>
      <c r="F22" s="391"/>
      <c r="G22" s="392"/>
    </row>
    <row r="23" spans="3:7" hidden="1">
      <c r="C23" s="390"/>
      <c r="D23" s="391"/>
      <c r="E23" s="391"/>
      <c r="F23" s="391"/>
      <c r="G23" s="392"/>
    </row>
    <row r="24" spans="3:7" hidden="1">
      <c r="C24" s="390"/>
      <c r="D24" s="391"/>
      <c r="E24" s="391"/>
      <c r="F24" s="391"/>
      <c r="G24" s="392"/>
    </row>
    <row r="25" spans="3:7" hidden="1">
      <c r="C25" s="390"/>
      <c r="D25" s="391"/>
      <c r="E25" s="391"/>
      <c r="F25" s="391"/>
      <c r="G25" s="392"/>
    </row>
    <row r="26" spans="3:7" ht="90" customHeight="1">
      <c r="C26" s="393"/>
      <c r="D26" s="394"/>
      <c r="E26" s="394"/>
      <c r="F26" s="394"/>
      <c r="G26" s="395"/>
    </row>
    <row r="27" spans="3:7" ht="45" customHeight="1"/>
  </sheetData>
  <mergeCells count="1">
    <mergeCell ref="C4:G26"/>
  </mergeCells>
  <pageMargins left="0.70866141732283472" right="0.70866141732283472" top="0.74803149606299213" bottom="0.74803149606299213" header="0.31496062992125984" footer="0.31496062992125984"/>
  <pageSetup paperSize="9" scale="8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39997558519241921"/>
  </sheetPr>
  <dimension ref="B4:G104"/>
  <sheetViews>
    <sheetView showGridLines="0" topLeftCell="A7" zoomScaleNormal="100" workbookViewId="0">
      <selection activeCell="C22" sqref="C22"/>
    </sheetView>
  </sheetViews>
  <sheetFormatPr baseColWidth="10" defaultColWidth="10.7109375" defaultRowHeight="15"/>
  <cols>
    <col min="1" max="1" width="4.7109375" customWidth="1"/>
    <col min="2" max="2" width="48.7109375" bestFit="1" customWidth="1"/>
    <col min="3" max="3" width="20.5703125" customWidth="1"/>
    <col min="4" max="4" width="19.28515625" bestFit="1" customWidth="1"/>
    <col min="5" max="5" width="18.28515625" customWidth="1"/>
    <col min="7" max="7" width="16.7109375" customWidth="1"/>
  </cols>
  <sheetData>
    <row r="4" spans="2:7">
      <c r="B4" s="163" t="s">
        <v>227</v>
      </c>
    </row>
    <row r="5" spans="2:7" ht="8.65" customHeight="1"/>
    <row r="6" spans="2:7">
      <c r="B6" s="483" t="s">
        <v>171</v>
      </c>
      <c r="C6" s="191" t="s">
        <v>228</v>
      </c>
      <c r="D6" s="191"/>
      <c r="E6" s="191"/>
      <c r="F6" s="191" t="s">
        <v>228</v>
      </c>
    </row>
    <row r="7" spans="2:7">
      <c r="B7" s="484"/>
      <c r="C7" s="191" t="s">
        <v>229</v>
      </c>
      <c r="D7" s="191" t="s">
        <v>230</v>
      </c>
      <c r="E7" s="191" t="s">
        <v>231</v>
      </c>
      <c r="F7" s="191" t="s">
        <v>232</v>
      </c>
    </row>
    <row r="8" spans="2:7">
      <c r="B8" s="51" t="s">
        <v>39</v>
      </c>
      <c r="C8" s="52">
        <v>149598817</v>
      </c>
      <c r="D8" s="52">
        <f>149598817-C8</f>
        <v>0</v>
      </c>
      <c r="E8" s="52">
        <v>-2091038</v>
      </c>
      <c r="F8" s="52">
        <f t="shared" ref="F8:F9" si="0">SUM(C8:E8)</f>
        <v>147507779</v>
      </c>
      <c r="G8" s="13"/>
    </row>
    <row r="9" spans="2:7">
      <c r="B9" s="54" t="s">
        <v>233</v>
      </c>
      <c r="C9" s="55">
        <f>SUM(C8)</f>
        <v>149598817</v>
      </c>
      <c r="D9" s="55">
        <f t="shared" ref="D9:E9" si="1">SUM(D8)</f>
        <v>0</v>
      </c>
      <c r="E9" s="55">
        <f t="shared" si="1"/>
        <v>-2091038</v>
      </c>
      <c r="F9" s="55">
        <f t="shared" si="0"/>
        <v>147507779</v>
      </c>
    </row>
    <row r="10" spans="2:7">
      <c r="B10" s="51" t="s">
        <v>234</v>
      </c>
      <c r="C10" s="52">
        <v>90439519</v>
      </c>
      <c r="D10" s="373">
        <v>59159298</v>
      </c>
      <c r="E10" s="52">
        <v>-2091038</v>
      </c>
      <c r="F10" s="52">
        <v>147507779</v>
      </c>
    </row>
    <row r="12" spans="2:7">
      <c r="B12" s="163" t="s">
        <v>235</v>
      </c>
      <c r="C12" s="159"/>
      <c r="D12" s="159"/>
      <c r="E12" s="159"/>
      <c r="F12" s="159"/>
    </row>
    <row r="13" spans="2:7">
      <c r="B13" s="469" t="s">
        <v>184</v>
      </c>
      <c r="C13" s="469"/>
      <c r="D13" s="469"/>
      <c r="E13" s="469"/>
      <c r="F13" s="469"/>
    </row>
    <row r="14" spans="2:7">
      <c r="B14" s="159"/>
      <c r="C14" s="159"/>
      <c r="D14" s="159"/>
      <c r="E14" s="159"/>
      <c r="F14" s="159"/>
    </row>
    <row r="15" spans="2:7">
      <c r="B15" s="466" t="s">
        <v>409</v>
      </c>
      <c r="C15" s="466"/>
      <c r="D15" s="466"/>
      <c r="E15" s="466"/>
      <c r="F15" s="159"/>
    </row>
    <row r="16" spans="2:7" ht="11.65" customHeight="1"/>
    <row r="17" spans="2:6">
      <c r="B17" s="192" t="s">
        <v>360</v>
      </c>
      <c r="C17" s="192" t="s">
        <v>179</v>
      </c>
      <c r="D17" s="192" t="s">
        <v>207</v>
      </c>
    </row>
    <row r="18" spans="2:6">
      <c r="B18" s="38" t="s">
        <v>344</v>
      </c>
      <c r="C18" s="37">
        <v>19153977</v>
      </c>
      <c r="D18" s="37">
        <v>19153977</v>
      </c>
      <c r="E18" s="34"/>
      <c r="F18" s="16"/>
    </row>
    <row r="19" spans="2:6">
      <c r="B19" s="38" t="s">
        <v>345</v>
      </c>
      <c r="C19" s="37">
        <v>32619925</v>
      </c>
      <c r="D19" s="37">
        <v>32619925</v>
      </c>
      <c r="E19" s="34"/>
      <c r="F19" s="16"/>
    </row>
    <row r="20" spans="2:6">
      <c r="B20" s="38" t="s">
        <v>346</v>
      </c>
      <c r="C20" s="37">
        <v>7215349</v>
      </c>
      <c r="D20" s="37">
        <v>0</v>
      </c>
      <c r="E20" s="34"/>
      <c r="F20" s="16"/>
    </row>
    <row r="21" spans="2:6">
      <c r="B21" s="38" t="s">
        <v>325</v>
      </c>
      <c r="C21" s="37">
        <v>0</v>
      </c>
      <c r="D21" s="37">
        <v>0</v>
      </c>
      <c r="E21" s="34"/>
      <c r="F21" s="16"/>
    </row>
    <row r="22" spans="2:6">
      <c r="B22" s="38" t="s">
        <v>654</v>
      </c>
      <c r="C22" s="37"/>
      <c r="D22" s="37">
        <v>0</v>
      </c>
      <c r="E22" s="34"/>
      <c r="F22" s="16"/>
    </row>
    <row r="23" spans="2:6">
      <c r="B23" s="38" t="s">
        <v>768</v>
      </c>
      <c r="C23" s="37">
        <v>71286934</v>
      </c>
      <c r="D23" s="37">
        <v>0</v>
      </c>
      <c r="E23" s="34"/>
      <c r="F23" s="16"/>
    </row>
    <row r="24" spans="2:6">
      <c r="B24" s="38" t="s">
        <v>555</v>
      </c>
      <c r="C24" s="37"/>
      <c r="D24" s="37">
        <v>143831</v>
      </c>
      <c r="E24" s="34"/>
      <c r="F24" s="16"/>
    </row>
    <row r="25" spans="2:6">
      <c r="B25" s="38" t="s">
        <v>666</v>
      </c>
      <c r="C25" s="37"/>
      <c r="D25" s="37">
        <v>0</v>
      </c>
      <c r="E25" s="34"/>
      <c r="F25" s="16"/>
    </row>
    <row r="26" spans="2:6">
      <c r="B26" s="38" t="s">
        <v>736</v>
      </c>
      <c r="C26" s="37"/>
      <c r="D26" s="37">
        <v>0</v>
      </c>
      <c r="E26" s="34"/>
      <c r="F26" s="16"/>
    </row>
    <row r="27" spans="2:6">
      <c r="B27" s="38" t="s">
        <v>761</v>
      </c>
      <c r="C27" s="37">
        <v>2022721</v>
      </c>
      <c r="D27" s="37">
        <v>2431813</v>
      </c>
      <c r="E27" s="34"/>
      <c r="F27" s="16"/>
    </row>
    <row r="28" spans="2:6">
      <c r="B28" s="38" t="s">
        <v>760</v>
      </c>
      <c r="C28" s="37">
        <v>3229112</v>
      </c>
      <c r="D28" s="37">
        <v>0</v>
      </c>
      <c r="E28" s="34"/>
      <c r="F28" s="16"/>
    </row>
    <row r="29" spans="2:6">
      <c r="B29" s="40" t="s">
        <v>208</v>
      </c>
      <c r="C29" s="41">
        <f>SUM(C18:C28)</f>
        <v>135528018</v>
      </c>
      <c r="D29" s="44">
        <f>SUM(D18:D28)</f>
        <v>54349546</v>
      </c>
      <c r="F29" s="12"/>
    </row>
    <row r="31" spans="2:6">
      <c r="B31" s="466" t="s">
        <v>556</v>
      </c>
      <c r="C31" s="466"/>
      <c r="D31" s="466"/>
      <c r="E31" s="466"/>
      <c r="F31" s="159"/>
    </row>
    <row r="32" spans="2:6" ht="11.65" customHeight="1"/>
    <row r="33" spans="2:6">
      <c r="B33" s="192" t="s">
        <v>360</v>
      </c>
      <c r="C33" s="192" t="s">
        <v>179</v>
      </c>
      <c r="D33" s="192" t="s">
        <v>207</v>
      </c>
    </row>
    <row r="34" spans="2:6">
      <c r="B34" s="38" t="s">
        <v>558</v>
      </c>
      <c r="C34" s="37">
        <v>311618073</v>
      </c>
      <c r="D34" s="37">
        <v>311618073</v>
      </c>
      <c r="E34" s="34"/>
      <c r="F34" s="16"/>
    </row>
    <row r="35" spans="2:6">
      <c r="B35" s="38"/>
      <c r="C35" s="37"/>
      <c r="D35" s="37">
        <v>0</v>
      </c>
      <c r="E35" s="34"/>
      <c r="F35" s="16"/>
    </row>
    <row r="36" spans="2:6">
      <c r="B36" s="40" t="s">
        <v>208</v>
      </c>
      <c r="C36" s="41">
        <f>SUM(C34:C35)</f>
        <v>311618073</v>
      </c>
      <c r="D36" s="44">
        <f>SUM(D34:D35)</f>
        <v>311618073</v>
      </c>
      <c r="F36" s="12"/>
    </row>
    <row r="37" spans="2:6">
      <c r="B37" s="46"/>
      <c r="C37" s="214"/>
      <c r="D37" s="215"/>
      <c r="F37" s="12"/>
    </row>
    <row r="38" spans="2:6">
      <c r="B38" s="163" t="s">
        <v>236</v>
      </c>
      <c r="C38" s="159"/>
      <c r="D38" s="159"/>
    </row>
    <row r="39" spans="2:6">
      <c r="B39" s="474" t="s">
        <v>184</v>
      </c>
      <c r="C39" s="474"/>
      <c r="D39" s="474"/>
    </row>
    <row r="40" spans="2:6">
      <c r="B40" s="158"/>
      <c r="C40" s="159"/>
      <c r="D40" s="159"/>
    </row>
    <row r="41" spans="2:6">
      <c r="B41" s="158" t="s">
        <v>410</v>
      </c>
      <c r="C41" s="159"/>
      <c r="D41" s="159"/>
    </row>
    <row r="42" spans="2:6" ht="16.149999999999999" customHeight="1">
      <c r="B42" s="187" t="s">
        <v>237</v>
      </c>
      <c r="C42" s="186" t="s">
        <v>238</v>
      </c>
      <c r="D42" s="187" t="s">
        <v>239</v>
      </c>
    </row>
    <row r="43" spans="2:6">
      <c r="B43" s="57" t="s">
        <v>559</v>
      </c>
      <c r="C43" s="56">
        <v>200000000</v>
      </c>
      <c r="D43" s="56">
        <v>200000000</v>
      </c>
    </row>
    <row r="44" spans="2:6">
      <c r="B44" s="59" t="s">
        <v>208</v>
      </c>
      <c r="C44" s="62">
        <f>+C43</f>
        <v>200000000</v>
      </c>
      <c r="D44" s="62">
        <f>+D43</f>
        <v>200000000</v>
      </c>
    </row>
    <row r="46" spans="2:6">
      <c r="B46" s="172" t="s">
        <v>411</v>
      </c>
      <c r="C46" s="27"/>
      <c r="D46" s="27"/>
    </row>
    <row r="47" spans="2:6">
      <c r="B47" s="187" t="s">
        <v>240</v>
      </c>
      <c r="C47" s="186" t="s">
        <v>238</v>
      </c>
      <c r="D47" s="187" t="s">
        <v>239</v>
      </c>
    </row>
    <row r="48" spans="2:6">
      <c r="B48" s="57" t="s">
        <v>559</v>
      </c>
      <c r="C48" s="141">
        <v>1236991</v>
      </c>
      <c r="D48" s="141">
        <v>1380822</v>
      </c>
    </row>
    <row r="49" spans="2:5">
      <c r="B49" s="142" t="s">
        <v>208</v>
      </c>
      <c r="C49" s="143">
        <f>+C48</f>
        <v>1236991</v>
      </c>
      <c r="D49" s="144">
        <f>+D48</f>
        <v>1380822</v>
      </c>
    </row>
    <row r="51" spans="2:5">
      <c r="B51" s="158" t="s">
        <v>412</v>
      </c>
    </row>
    <row r="52" spans="2:5">
      <c r="B52" s="187" t="s">
        <v>241</v>
      </c>
      <c r="C52" s="186" t="s">
        <v>238</v>
      </c>
      <c r="D52" s="187" t="s">
        <v>239</v>
      </c>
    </row>
    <row r="53" spans="2:5">
      <c r="B53" s="57" t="s">
        <v>378</v>
      </c>
      <c r="C53" s="53"/>
      <c r="D53" s="65"/>
    </row>
    <row r="54" spans="2:5">
      <c r="B54" s="59" t="s">
        <v>208</v>
      </c>
      <c r="C54" s="64" t="s">
        <v>137</v>
      </c>
      <c r="D54" s="66" t="s">
        <v>137</v>
      </c>
    </row>
    <row r="56" spans="2:5">
      <c r="B56" s="158" t="s">
        <v>413</v>
      </c>
    </row>
    <row r="57" spans="2:5">
      <c r="B57" s="187" t="s">
        <v>237</v>
      </c>
      <c r="C57" s="186" t="s">
        <v>238</v>
      </c>
      <c r="D57" s="187" t="s">
        <v>239</v>
      </c>
    </row>
    <row r="58" spans="2:5">
      <c r="B58" s="57" t="s">
        <v>559</v>
      </c>
      <c r="C58" s="56"/>
      <c r="D58" s="56">
        <v>0</v>
      </c>
    </row>
    <row r="59" spans="2:5">
      <c r="B59" s="59" t="s">
        <v>208</v>
      </c>
      <c r="C59" s="62">
        <f>+C58</f>
        <v>0</v>
      </c>
      <c r="D59" s="63">
        <f>+D58</f>
        <v>0</v>
      </c>
    </row>
    <row r="62" spans="2:5">
      <c r="B62" s="466" t="s">
        <v>242</v>
      </c>
      <c r="C62" s="466"/>
      <c r="D62" s="466"/>
      <c r="E62" s="159"/>
    </row>
    <row r="63" spans="2:5" ht="15.75" thickBot="1">
      <c r="B63" s="474" t="s">
        <v>184</v>
      </c>
      <c r="C63" s="474"/>
      <c r="D63" s="474"/>
      <c r="E63" s="474"/>
    </row>
    <row r="64" spans="2:5">
      <c r="B64" s="189" t="s">
        <v>171</v>
      </c>
      <c r="C64" s="190" t="s">
        <v>179</v>
      </c>
      <c r="D64" s="190" t="s">
        <v>243</v>
      </c>
    </row>
    <row r="65" spans="2:6">
      <c r="B65" s="57" t="s">
        <v>566</v>
      </c>
      <c r="C65" s="43">
        <v>55000</v>
      </c>
      <c r="D65" s="43">
        <v>55000</v>
      </c>
      <c r="F65" s="17"/>
    </row>
    <row r="66" spans="2:6">
      <c r="B66" s="57" t="s">
        <v>647</v>
      </c>
      <c r="C66" s="43"/>
      <c r="D66" s="43">
        <v>766000</v>
      </c>
      <c r="F66" s="17"/>
    </row>
    <row r="67" spans="2:6">
      <c r="B67" s="57" t="s">
        <v>747</v>
      </c>
      <c r="C67" s="43">
        <v>2408500</v>
      </c>
      <c r="D67" s="43">
        <v>0</v>
      </c>
      <c r="F67" s="17"/>
    </row>
    <row r="68" spans="2:6">
      <c r="B68" s="57" t="s">
        <v>710</v>
      </c>
      <c r="C68" s="43">
        <v>1200000</v>
      </c>
      <c r="D68" s="43">
        <v>2000000</v>
      </c>
      <c r="F68" s="17"/>
    </row>
    <row r="69" spans="2:6">
      <c r="B69" s="57" t="s">
        <v>696</v>
      </c>
      <c r="C69" s="43"/>
      <c r="D69" s="43">
        <v>0</v>
      </c>
      <c r="F69" s="17"/>
    </row>
    <row r="70" spans="2:6">
      <c r="B70" s="57" t="s">
        <v>562</v>
      </c>
      <c r="C70" s="43"/>
      <c r="D70" s="43">
        <v>33497</v>
      </c>
      <c r="F70" s="17"/>
    </row>
    <row r="71" spans="2:6">
      <c r="B71" s="57" t="s">
        <v>571</v>
      </c>
      <c r="C71" s="43"/>
      <c r="D71" s="43">
        <v>0</v>
      </c>
      <c r="F71" s="17"/>
    </row>
    <row r="72" spans="2:6">
      <c r="B72" s="57" t="s">
        <v>536</v>
      </c>
      <c r="C72" s="43">
        <v>21551</v>
      </c>
      <c r="D72" s="43">
        <v>2021551</v>
      </c>
      <c r="F72" s="17"/>
    </row>
    <row r="73" spans="2:6">
      <c r="B73" s="57" t="s">
        <v>697</v>
      </c>
      <c r="C73" s="43"/>
      <c r="D73" s="43">
        <v>990572.32</v>
      </c>
      <c r="F73" s="17"/>
    </row>
    <row r="74" spans="2:6">
      <c r="B74" s="57" t="s">
        <v>563</v>
      </c>
      <c r="C74" s="43"/>
      <c r="D74" s="43">
        <v>140580</v>
      </c>
      <c r="F74" s="17"/>
    </row>
    <row r="75" spans="2:6">
      <c r="B75" s="57" t="s">
        <v>665</v>
      </c>
      <c r="C75" s="43"/>
      <c r="D75" s="43">
        <v>2900000</v>
      </c>
      <c r="F75" s="17"/>
    </row>
    <row r="76" spans="2:6">
      <c r="B76" s="57" t="s">
        <v>568</v>
      </c>
      <c r="C76" s="43"/>
      <c r="D76" s="43">
        <v>0</v>
      </c>
      <c r="F76" s="17"/>
    </row>
    <row r="77" spans="2:6">
      <c r="B77" s="57" t="s">
        <v>711</v>
      </c>
      <c r="C77" s="43">
        <v>5500000</v>
      </c>
      <c r="D77" s="43">
        <v>5500000</v>
      </c>
      <c r="F77" s="17"/>
    </row>
    <row r="78" spans="2:6">
      <c r="B78" s="57" t="s">
        <v>763</v>
      </c>
      <c r="C78" s="43">
        <v>1737100</v>
      </c>
      <c r="D78" s="43">
        <v>157025</v>
      </c>
      <c r="F78" s="17"/>
    </row>
    <row r="79" spans="2:6">
      <c r="B79" s="57" t="s">
        <v>648</v>
      </c>
      <c r="C79" s="43">
        <v>8138.4930000000004</v>
      </c>
      <c r="D79" s="43">
        <v>8011.9820000000009</v>
      </c>
      <c r="F79" s="17"/>
    </row>
    <row r="80" spans="2:6">
      <c r="B80" s="57" t="s">
        <v>680</v>
      </c>
      <c r="C80" s="43"/>
      <c r="D80" s="43">
        <v>0</v>
      </c>
      <c r="F80" s="17"/>
    </row>
    <row r="81" spans="2:6">
      <c r="B81" s="57" t="s">
        <v>564</v>
      </c>
      <c r="C81" s="43"/>
      <c r="D81" s="43">
        <v>4422615</v>
      </c>
      <c r="F81" s="17"/>
    </row>
    <row r="82" spans="2:6">
      <c r="B82" s="57" t="s">
        <v>762</v>
      </c>
      <c r="C82" s="43">
        <v>720000</v>
      </c>
      <c r="D82" s="43">
        <v>1260000</v>
      </c>
      <c r="F82" s="17"/>
    </row>
    <row r="83" spans="2:6">
      <c r="B83" s="57" t="s">
        <v>712</v>
      </c>
      <c r="C83" s="43"/>
      <c r="D83" s="43">
        <v>2680373</v>
      </c>
      <c r="F83" s="17"/>
    </row>
    <row r="84" spans="2:6">
      <c r="B84" s="57" t="s">
        <v>698</v>
      </c>
      <c r="C84" s="43">
        <v>646909</v>
      </c>
      <c r="D84" s="43">
        <v>646909</v>
      </c>
      <c r="F84" s="17"/>
    </row>
    <row r="85" spans="2:6">
      <c r="B85" s="57" t="s">
        <v>565</v>
      </c>
      <c r="C85" s="43">
        <v>360000</v>
      </c>
      <c r="D85" s="43">
        <v>360000</v>
      </c>
      <c r="F85" s="17"/>
    </row>
    <row r="86" spans="2:6">
      <c r="B86" s="57" t="s">
        <v>649</v>
      </c>
      <c r="C86" s="43"/>
      <c r="D86" s="43">
        <v>241780</v>
      </c>
      <c r="F86" s="17"/>
    </row>
    <row r="87" spans="2:6">
      <c r="B87" s="57" t="s">
        <v>764</v>
      </c>
      <c r="C87" s="43">
        <v>4291205.4000000004</v>
      </c>
      <c r="D87" s="43">
        <v>0</v>
      </c>
      <c r="F87" s="17"/>
    </row>
    <row r="88" spans="2:6">
      <c r="B88" s="57" t="s">
        <v>713</v>
      </c>
      <c r="C88" s="43">
        <v>10986965.550000001</v>
      </c>
      <c r="D88" s="43">
        <v>10816175.699999999</v>
      </c>
      <c r="F88" s="17"/>
    </row>
    <row r="89" spans="2:6">
      <c r="B89" s="57" t="s">
        <v>699</v>
      </c>
      <c r="C89" s="43"/>
      <c r="D89" s="43">
        <v>180000</v>
      </c>
      <c r="F89" s="17"/>
    </row>
    <row r="90" spans="2:6">
      <c r="B90" s="57" t="s">
        <v>700</v>
      </c>
      <c r="C90" s="43"/>
      <c r="D90" s="43">
        <v>1250000</v>
      </c>
      <c r="F90" s="17"/>
    </row>
    <row r="91" spans="2:6">
      <c r="B91" s="57" t="s">
        <v>765</v>
      </c>
      <c r="C91" s="43">
        <v>10153420</v>
      </c>
      <c r="D91" s="43">
        <v>0</v>
      </c>
      <c r="F91" s="17"/>
    </row>
    <row r="92" spans="2:6">
      <c r="B92" s="57" t="s">
        <v>567</v>
      </c>
      <c r="C92" s="43"/>
      <c r="D92" s="43">
        <v>0</v>
      </c>
      <c r="F92" s="17"/>
    </row>
    <row r="93" spans="2:6">
      <c r="B93" s="57" t="s">
        <v>650</v>
      </c>
      <c r="C93" s="43"/>
      <c r="D93" s="43">
        <v>0</v>
      </c>
      <c r="F93" s="17"/>
    </row>
    <row r="94" spans="2:6">
      <c r="B94" s="57" t="s">
        <v>569</v>
      </c>
      <c r="C94" s="43"/>
      <c r="D94" s="43">
        <v>1410430</v>
      </c>
      <c r="F94" s="17"/>
    </row>
    <row r="95" spans="2:6">
      <c r="B95" s="57" t="s">
        <v>561</v>
      </c>
      <c r="C95" s="43"/>
      <c r="D95" s="43">
        <v>0</v>
      </c>
      <c r="F95" s="17"/>
    </row>
    <row r="96" spans="2:6">
      <c r="B96" s="57" t="s">
        <v>560</v>
      </c>
      <c r="C96" s="43"/>
      <c r="D96" s="43">
        <v>0</v>
      </c>
      <c r="F96" s="17"/>
    </row>
    <row r="97" spans="2:6">
      <c r="B97" s="59" t="s">
        <v>208</v>
      </c>
      <c r="C97" s="63">
        <f>SUM(C65:C96)</f>
        <v>38088789.443000004</v>
      </c>
      <c r="D97" s="63">
        <f>SUM(D65:D96)</f>
        <v>37840520.002000004</v>
      </c>
      <c r="E97" s="19"/>
      <c r="F97" s="18"/>
    </row>
    <row r="99" spans="2:6">
      <c r="B99" s="163" t="s">
        <v>414</v>
      </c>
    </row>
    <row r="100" spans="2:6">
      <c r="B100" s="187" t="s">
        <v>171</v>
      </c>
      <c r="C100" s="187" t="s">
        <v>179</v>
      </c>
      <c r="D100" s="187" t="s">
        <v>243</v>
      </c>
    </row>
    <row r="101" spans="2:6">
      <c r="B101" s="57" t="s">
        <v>244</v>
      </c>
      <c r="C101" s="43">
        <v>96082272</v>
      </c>
      <c r="D101" s="42">
        <v>0</v>
      </c>
    </row>
    <row r="102" spans="2:6">
      <c r="B102" s="59" t="s">
        <v>208</v>
      </c>
      <c r="C102" s="63">
        <f>+C101</f>
        <v>96082272</v>
      </c>
      <c r="D102" s="63">
        <f>+D101</f>
        <v>0</v>
      </c>
      <c r="E102" s="19"/>
      <c r="F102" s="19"/>
    </row>
    <row r="104" spans="2:6">
      <c r="C104" s="19"/>
    </row>
  </sheetData>
  <sortState xmlns:xlrd2="http://schemas.microsoft.com/office/spreadsheetml/2017/richdata2" ref="B65:D96">
    <sortCondition ref="B65:B96"/>
  </sortState>
  <mergeCells count="7">
    <mergeCell ref="B63:E63"/>
    <mergeCell ref="B6:B7"/>
    <mergeCell ref="B13:F13"/>
    <mergeCell ref="B15:E15"/>
    <mergeCell ref="B39:D39"/>
    <mergeCell ref="B62:D62"/>
    <mergeCell ref="B31:E31"/>
  </mergeCells>
  <conditionalFormatting sqref="B65:B96">
    <cfRule type="duplicateValues" dxfId="1" priority="3"/>
    <cfRule type="duplicateValues" dxfId="0" priority="4"/>
  </conditionalFormatting>
  <pageMargins left="0.7" right="0.7" top="0.75" bottom="0.75" header="0.3" footer="0.3"/>
  <pageSetup scale="7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39997558519241921"/>
  </sheetPr>
  <dimension ref="B3:I78"/>
  <sheetViews>
    <sheetView showGridLines="0" topLeftCell="A27" zoomScaleNormal="100" workbookViewId="0">
      <selection activeCell="C43" sqref="C43"/>
    </sheetView>
  </sheetViews>
  <sheetFormatPr baseColWidth="10" defaultColWidth="11.42578125" defaultRowHeight="15"/>
  <cols>
    <col min="1" max="1" width="5.42578125" customWidth="1"/>
    <col min="2" max="2" width="68.42578125" bestFit="1" customWidth="1"/>
    <col min="3" max="3" width="27.28515625" bestFit="1" customWidth="1"/>
    <col min="4" max="4" width="19.28515625" bestFit="1" customWidth="1"/>
    <col min="5" max="5" width="22" bestFit="1" customWidth="1"/>
    <col min="6" max="6" width="16.85546875" bestFit="1" customWidth="1"/>
    <col min="7" max="7" width="22.28515625" customWidth="1"/>
  </cols>
  <sheetData>
    <row r="3" spans="2:5">
      <c r="B3" s="466" t="s">
        <v>245</v>
      </c>
      <c r="C3" s="466"/>
      <c r="D3" s="466"/>
      <c r="E3" s="466"/>
    </row>
    <row r="4" spans="2:5" ht="15.75" thickBot="1">
      <c r="B4" s="168"/>
      <c r="C4" s="168"/>
      <c r="D4" s="168"/>
      <c r="E4" s="159"/>
    </row>
    <row r="5" spans="2:5">
      <c r="B5" s="218" t="s">
        <v>171</v>
      </c>
      <c r="C5" s="219" t="s">
        <v>179</v>
      </c>
      <c r="D5" s="220" t="s">
        <v>243</v>
      </c>
    </row>
    <row r="6" spans="2:5">
      <c r="B6" s="221" t="s">
        <v>634</v>
      </c>
      <c r="C6" s="217">
        <v>0</v>
      </c>
      <c r="D6" s="217">
        <v>0</v>
      </c>
      <c r="E6" s="289"/>
    </row>
    <row r="7" spans="2:5">
      <c r="B7" s="221" t="s">
        <v>635</v>
      </c>
      <c r="C7" s="217">
        <v>0</v>
      </c>
      <c r="D7" s="217">
        <v>0</v>
      </c>
      <c r="E7" s="289"/>
    </row>
    <row r="8" spans="2:5">
      <c r="B8" s="221" t="s">
        <v>636</v>
      </c>
      <c r="C8" s="217">
        <v>0</v>
      </c>
      <c r="D8" s="217">
        <v>0</v>
      </c>
      <c r="E8" s="289"/>
    </row>
    <row r="9" spans="2:5">
      <c r="B9" s="221" t="s">
        <v>637</v>
      </c>
      <c r="C9" s="217">
        <v>42193944</v>
      </c>
      <c r="D9" s="217">
        <v>64807127</v>
      </c>
      <c r="E9" s="289"/>
    </row>
    <row r="10" spans="2:5" ht="15.75" thickBot="1">
      <c r="B10" s="222"/>
      <c r="C10" s="223">
        <f>SUM(C6:C9)</f>
        <v>42193944</v>
      </c>
      <c r="D10" s="224">
        <f>SUM(D6:D9)</f>
        <v>64807127</v>
      </c>
    </row>
    <row r="11" spans="2:5">
      <c r="B11" s="159"/>
      <c r="C11" s="162"/>
      <c r="D11" s="162"/>
      <c r="E11" s="162"/>
    </row>
    <row r="12" spans="2:5">
      <c r="B12" s="159"/>
      <c r="C12" s="159"/>
      <c r="D12" s="159"/>
      <c r="E12" s="159"/>
    </row>
    <row r="13" spans="2:5">
      <c r="B13" s="486" t="s">
        <v>405</v>
      </c>
      <c r="C13" s="486"/>
      <c r="D13" s="486"/>
      <c r="E13" s="159"/>
    </row>
    <row r="14" spans="2:5" ht="15.75" thickBot="1">
      <c r="B14" s="168"/>
      <c r="C14" s="168"/>
      <c r="D14" s="168"/>
      <c r="E14" s="159"/>
    </row>
    <row r="15" spans="2:5">
      <c r="B15" s="218" t="s">
        <v>171</v>
      </c>
      <c r="C15" s="219" t="s">
        <v>179</v>
      </c>
      <c r="D15" s="220" t="s">
        <v>243</v>
      </c>
    </row>
    <row r="16" spans="2:5">
      <c r="B16" s="221" t="s">
        <v>536</v>
      </c>
      <c r="C16" s="217">
        <v>0</v>
      </c>
      <c r="D16" s="217">
        <v>0</v>
      </c>
    </row>
    <row r="17" spans="2:4">
      <c r="B17" s="221" t="s">
        <v>570</v>
      </c>
      <c r="C17" s="217">
        <v>0</v>
      </c>
      <c r="D17" s="217">
        <v>4265758</v>
      </c>
    </row>
    <row r="18" spans="2:4" ht="15.75" thickBot="1">
      <c r="B18" s="222"/>
      <c r="C18" s="223">
        <f>SUM(C16:C17)</f>
        <v>0</v>
      </c>
      <c r="D18" s="224">
        <f>SUM(D16:D17)</f>
        <v>4265758</v>
      </c>
    </row>
    <row r="19" spans="2:4">
      <c r="B19" s="216"/>
      <c r="C19" s="240"/>
      <c r="D19" s="240"/>
    </row>
    <row r="20" spans="2:4" ht="15.75" thickBot="1">
      <c r="B20" s="216" t="s">
        <v>576</v>
      </c>
      <c r="C20" s="240"/>
      <c r="D20" s="240"/>
    </row>
    <row r="21" spans="2:4">
      <c r="B21" s="218" t="s">
        <v>171</v>
      </c>
      <c r="C21" s="219" t="s">
        <v>179</v>
      </c>
      <c r="D21" s="220" t="s">
        <v>243</v>
      </c>
    </row>
    <row r="22" spans="2:4">
      <c r="B22" s="221" t="s">
        <v>581</v>
      </c>
      <c r="C22" s="217">
        <v>0</v>
      </c>
      <c r="D22" s="217">
        <v>0</v>
      </c>
    </row>
    <row r="23" spans="2:4">
      <c r="B23" s="221" t="s">
        <v>582</v>
      </c>
      <c r="C23" s="217">
        <v>0</v>
      </c>
      <c r="D23" s="217">
        <v>0</v>
      </c>
    </row>
    <row r="24" spans="2:4">
      <c r="B24" s="221" t="s">
        <v>583</v>
      </c>
      <c r="C24" s="217">
        <v>0</v>
      </c>
      <c r="D24" s="217">
        <v>0</v>
      </c>
    </row>
    <row r="25" spans="2:4">
      <c r="B25" s="221" t="s">
        <v>584</v>
      </c>
      <c r="C25" s="217">
        <v>0</v>
      </c>
      <c r="D25" s="43">
        <v>0</v>
      </c>
    </row>
    <row r="26" spans="2:4">
      <c r="B26" s="221" t="s">
        <v>585</v>
      </c>
      <c r="C26" s="217">
        <v>0</v>
      </c>
      <c r="D26" s="217">
        <v>0</v>
      </c>
    </row>
    <row r="27" spans="2:4">
      <c r="B27" s="243" t="s">
        <v>597</v>
      </c>
      <c r="C27" s="217">
        <v>0</v>
      </c>
      <c r="D27" s="217">
        <v>0</v>
      </c>
    </row>
    <row r="28" spans="2:4">
      <c r="B28" s="221" t="s">
        <v>586</v>
      </c>
      <c r="C28" s="217">
        <v>0</v>
      </c>
      <c r="D28" s="217">
        <v>0</v>
      </c>
    </row>
    <row r="29" spans="2:4">
      <c r="B29" s="221" t="s">
        <v>587</v>
      </c>
      <c r="C29" s="217">
        <v>0</v>
      </c>
      <c r="D29" s="217">
        <v>0</v>
      </c>
    </row>
    <row r="30" spans="2:4">
      <c r="B30" s="221" t="s">
        <v>588</v>
      </c>
      <c r="C30" s="217">
        <v>0</v>
      </c>
      <c r="D30" s="217">
        <v>0</v>
      </c>
    </row>
    <row r="31" spans="2:4">
      <c r="B31" s="241" t="s">
        <v>589</v>
      </c>
      <c r="C31" s="217">
        <v>0</v>
      </c>
      <c r="D31" s="217">
        <v>0</v>
      </c>
    </row>
    <row r="32" spans="2:4" ht="15.75" thickBot="1">
      <c r="B32" s="222"/>
      <c r="C32" s="223">
        <f>SUM(C22:C31)</f>
        <v>0</v>
      </c>
      <c r="D32" s="223">
        <f>SUM(D22:D31)</f>
        <v>0</v>
      </c>
    </row>
    <row r="33" spans="2:6">
      <c r="B33" s="159"/>
      <c r="C33" s="168"/>
      <c r="D33" s="168"/>
      <c r="E33" s="159"/>
    </row>
    <row r="34" spans="2:6">
      <c r="B34" s="158" t="s">
        <v>246</v>
      </c>
      <c r="C34" s="159"/>
      <c r="D34" s="159"/>
      <c r="E34" s="159"/>
    </row>
    <row r="35" spans="2:6">
      <c r="B35" s="159" t="s">
        <v>380</v>
      </c>
      <c r="C35" s="159"/>
      <c r="D35" s="159"/>
      <c r="E35" s="159"/>
    </row>
    <row r="36" spans="2:6">
      <c r="B36" s="159"/>
      <c r="C36" s="159"/>
      <c r="D36" s="159"/>
      <c r="E36" s="159"/>
    </row>
    <row r="37" spans="2:6">
      <c r="B37" s="466" t="s">
        <v>247</v>
      </c>
      <c r="C37" s="466"/>
      <c r="D37" s="159"/>
      <c r="E37" s="159"/>
    </row>
    <row r="38" spans="2:6">
      <c r="B38" s="162"/>
      <c r="C38" s="162"/>
      <c r="D38" s="159"/>
      <c r="E38" s="159"/>
    </row>
    <row r="39" spans="2:6" ht="15.75" thickBot="1">
      <c r="B39" s="474" t="s">
        <v>184</v>
      </c>
      <c r="C39" s="474"/>
      <c r="D39" s="474"/>
      <c r="E39" s="474"/>
    </row>
    <row r="40" spans="2:6">
      <c r="B40" s="189" t="s">
        <v>171</v>
      </c>
      <c r="C40" s="190" t="s">
        <v>179</v>
      </c>
      <c r="D40" s="190" t="s">
        <v>243</v>
      </c>
    </row>
    <row r="41" spans="2:6">
      <c r="B41" s="57" t="s">
        <v>655</v>
      </c>
      <c r="C41" s="43">
        <v>0</v>
      </c>
      <c r="D41" s="43">
        <v>0</v>
      </c>
      <c r="F41" s="17"/>
    </row>
    <row r="42" spans="2:6">
      <c r="B42" s="57" t="s">
        <v>656</v>
      </c>
      <c r="C42" s="43">
        <v>1179719</v>
      </c>
      <c r="D42" s="43">
        <v>1910988</v>
      </c>
      <c r="F42" s="17"/>
    </row>
    <row r="43" spans="2:6">
      <c r="B43" s="57" t="s">
        <v>573</v>
      </c>
      <c r="C43" s="43">
        <v>7546317</v>
      </c>
      <c r="D43" s="43">
        <v>18000000</v>
      </c>
      <c r="F43" s="17"/>
    </row>
    <row r="44" spans="2:6">
      <c r="B44" s="59" t="s">
        <v>208</v>
      </c>
      <c r="C44" s="63">
        <f>SUM(C41:C43)</f>
        <v>8726036</v>
      </c>
      <c r="D44" s="63">
        <f>SUM(D41:D43)</f>
        <v>19910988</v>
      </c>
      <c r="E44" s="19"/>
      <c r="F44" s="18"/>
    </row>
    <row r="45" spans="2:6">
      <c r="B45" s="133"/>
      <c r="C45" s="133"/>
    </row>
    <row r="47" spans="2:6">
      <c r="B47" s="158" t="s">
        <v>249</v>
      </c>
      <c r="C47" s="159"/>
      <c r="D47" s="159"/>
    </row>
    <row r="48" spans="2:6" ht="15.75" hidden="1" thickBot="1">
      <c r="B48" s="171" t="s">
        <v>406</v>
      </c>
      <c r="C48" s="169"/>
      <c r="D48" s="169"/>
      <c r="F48" s="31"/>
    </row>
    <row r="49" spans="2:9" ht="15.75" hidden="1" thickBot="1">
      <c r="B49" s="171" t="s">
        <v>407</v>
      </c>
      <c r="C49" s="169"/>
      <c r="D49" s="169"/>
      <c r="F49" s="31"/>
    </row>
    <row r="50" spans="2:9" ht="15.75" hidden="1" thickBot="1">
      <c r="B50" s="171" t="s">
        <v>408</v>
      </c>
      <c r="C50" s="169"/>
      <c r="D50" s="169"/>
      <c r="F50" s="31"/>
    </row>
    <row r="51" spans="2:9">
      <c r="B51" s="159" t="s">
        <v>380</v>
      </c>
      <c r="C51" s="170"/>
      <c r="D51" s="170"/>
      <c r="F51" s="31"/>
    </row>
    <row r="52" spans="2:9">
      <c r="B52" s="159"/>
      <c r="C52" s="159"/>
      <c r="D52" s="159"/>
    </row>
    <row r="53" spans="2:9">
      <c r="B53" s="481" t="s">
        <v>250</v>
      </c>
      <c r="C53" s="481"/>
      <c r="D53" s="481"/>
    </row>
    <row r="54" spans="2:9">
      <c r="B54" s="160"/>
      <c r="C54" s="159"/>
      <c r="D54" s="159"/>
    </row>
    <row r="55" spans="2:9">
      <c r="B55" s="163" t="s">
        <v>625</v>
      </c>
      <c r="C55" s="159"/>
      <c r="D55" s="159"/>
      <c r="F55" s="285"/>
      <c r="G55" s="32"/>
      <c r="H55" s="32"/>
      <c r="I55" s="32"/>
    </row>
    <row r="56" spans="2:9" ht="15.75" thickBot="1">
      <c r="B56" s="163"/>
      <c r="C56" s="159"/>
      <c r="D56" s="159"/>
      <c r="F56" s="285"/>
    </row>
    <row r="57" spans="2:9">
      <c r="B57" s="189" t="s">
        <v>626</v>
      </c>
      <c r="C57" s="190" t="s">
        <v>171</v>
      </c>
      <c r="D57" s="190" t="s">
        <v>627</v>
      </c>
      <c r="E57" s="219" t="s">
        <v>179</v>
      </c>
      <c r="F57" s="220" t="s">
        <v>243</v>
      </c>
    </row>
    <row r="58" spans="2:9">
      <c r="B58" s="221" t="s">
        <v>536</v>
      </c>
      <c r="C58" s="57" t="s">
        <v>681</v>
      </c>
      <c r="D58" s="57" t="s">
        <v>394</v>
      </c>
      <c r="E58" s="217"/>
      <c r="F58" s="217">
        <v>14500000</v>
      </c>
    </row>
    <row r="59" spans="2:9">
      <c r="B59" s="312" t="s">
        <v>537</v>
      </c>
      <c r="C59" s="57" t="s">
        <v>681</v>
      </c>
      <c r="D59" s="57" t="s">
        <v>682</v>
      </c>
      <c r="E59" s="313"/>
      <c r="F59" s="313">
        <v>3500000</v>
      </c>
    </row>
    <row r="60" spans="2:9" ht="15.75" thickBot="1">
      <c r="B60" s="222"/>
      <c r="C60" s="59"/>
      <c r="D60" s="59"/>
      <c r="E60" s="223">
        <f>SUM(E58:E59)</f>
        <v>0</v>
      </c>
      <c r="F60" s="224">
        <f>SUM(F58:F59)</f>
        <v>18000000</v>
      </c>
    </row>
    <row r="62" spans="2:9">
      <c r="B62" s="8"/>
      <c r="F62" s="285"/>
    </row>
    <row r="63" spans="2:9">
      <c r="B63" s="163" t="s">
        <v>628</v>
      </c>
      <c r="C63" s="286"/>
      <c r="D63" s="287"/>
      <c r="F63" s="285"/>
    </row>
    <row r="64" spans="2:9" ht="15.75" thickBot="1">
      <c r="B64" s="485" t="s">
        <v>629</v>
      </c>
      <c r="C64" s="485"/>
      <c r="D64" s="485"/>
      <c r="E64" s="485"/>
      <c r="F64" s="485"/>
    </row>
    <row r="65" spans="2:6">
      <c r="B65" s="189" t="s">
        <v>626</v>
      </c>
      <c r="C65" s="190" t="s">
        <v>171</v>
      </c>
      <c r="D65" s="190" t="s">
        <v>627</v>
      </c>
      <c r="E65" s="190" t="s">
        <v>179</v>
      </c>
      <c r="F65" s="190" t="s">
        <v>243</v>
      </c>
    </row>
    <row r="66" spans="2:6">
      <c r="B66" s="57" t="s">
        <v>536</v>
      </c>
      <c r="C66" s="57" t="s">
        <v>737</v>
      </c>
      <c r="D66" s="57" t="s">
        <v>394</v>
      </c>
      <c r="E66" s="43"/>
      <c r="F66" s="43">
        <v>0</v>
      </c>
    </row>
    <row r="67" spans="2:6">
      <c r="B67" s="57" t="s">
        <v>536</v>
      </c>
      <c r="C67" s="57" t="s">
        <v>630</v>
      </c>
      <c r="D67" s="57" t="s">
        <v>394</v>
      </c>
      <c r="E67" s="43"/>
      <c r="F67" s="43">
        <v>0</v>
      </c>
    </row>
    <row r="68" spans="2:6">
      <c r="B68" s="57" t="s">
        <v>536</v>
      </c>
      <c r="C68" s="57" t="s">
        <v>686</v>
      </c>
      <c r="D68" s="57" t="s">
        <v>394</v>
      </c>
      <c r="E68" s="43"/>
      <c r="F68" s="43">
        <v>0</v>
      </c>
    </row>
    <row r="69" spans="2:6">
      <c r="B69" s="57" t="s">
        <v>537</v>
      </c>
      <c r="C69" s="57" t="s">
        <v>630</v>
      </c>
      <c r="D69" s="57" t="s">
        <v>631</v>
      </c>
      <c r="E69" s="43"/>
      <c r="F69" s="43">
        <v>0</v>
      </c>
    </row>
    <row r="70" spans="2:6">
      <c r="B70" s="59" t="s">
        <v>208</v>
      </c>
      <c r="C70" s="59"/>
      <c r="D70" s="59"/>
      <c r="E70" s="63">
        <f>SUM(E67:E69)</f>
        <v>0</v>
      </c>
      <c r="F70" s="63">
        <f>SUM(F66:F69)</f>
        <v>0</v>
      </c>
    </row>
    <row r="72" spans="2:6" ht="15.75" thickBot="1">
      <c r="B72" s="485" t="s">
        <v>632</v>
      </c>
      <c r="C72" s="485"/>
      <c r="D72" s="485"/>
      <c r="E72" s="485"/>
      <c r="F72" s="485"/>
    </row>
    <row r="73" spans="2:6">
      <c r="B73" s="189" t="s">
        <v>626</v>
      </c>
      <c r="C73" s="190" t="s">
        <v>171</v>
      </c>
      <c r="D73" s="190" t="s">
        <v>627</v>
      </c>
      <c r="E73" s="190" t="s">
        <v>179</v>
      </c>
      <c r="F73" s="190" t="s">
        <v>243</v>
      </c>
    </row>
    <row r="74" spans="2:6">
      <c r="B74" s="57" t="s">
        <v>536</v>
      </c>
      <c r="C74" s="57" t="s">
        <v>633</v>
      </c>
      <c r="D74" s="57" t="s">
        <v>394</v>
      </c>
      <c r="E74" s="43"/>
      <c r="F74" s="43">
        <v>0</v>
      </c>
    </row>
    <row r="75" spans="2:6">
      <c r="B75" s="57" t="s">
        <v>536</v>
      </c>
      <c r="C75" s="57" t="s">
        <v>683</v>
      </c>
      <c r="D75" s="57" t="s">
        <v>394</v>
      </c>
      <c r="E75" s="43"/>
      <c r="F75" s="43">
        <v>0</v>
      </c>
    </row>
    <row r="76" spans="2:6">
      <c r="B76" s="57" t="s">
        <v>537</v>
      </c>
      <c r="C76" s="57" t="s">
        <v>633</v>
      </c>
      <c r="D76" s="57" t="s">
        <v>631</v>
      </c>
      <c r="E76" s="43"/>
      <c r="F76" s="43">
        <v>0</v>
      </c>
    </row>
    <row r="77" spans="2:6">
      <c r="B77" s="57" t="s">
        <v>537</v>
      </c>
      <c r="C77" s="57" t="s">
        <v>683</v>
      </c>
      <c r="D77" s="57" t="s">
        <v>631</v>
      </c>
      <c r="E77" s="43"/>
      <c r="F77" s="43">
        <v>0</v>
      </c>
    </row>
    <row r="78" spans="2:6">
      <c r="B78" s="59" t="s">
        <v>208</v>
      </c>
      <c r="C78" s="59"/>
      <c r="D78" s="59"/>
      <c r="E78" s="63">
        <f>SUM(E74:E77)</f>
        <v>0</v>
      </c>
      <c r="F78" s="63">
        <f>SUM(F74:F77)</f>
        <v>0</v>
      </c>
    </row>
  </sheetData>
  <mergeCells count="7">
    <mergeCell ref="B64:F64"/>
    <mergeCell ref="B72:F72"/>
    <mergeCell ref="B39:E39"/>
    <mergeCell ref="B3:E3"/>
    <mergeCell ref="B13:D13"/>
    <mergeCell ref="B37:C37"/>
    <mergeCell ref="B53:D53"/>
  </mergeCells>
  <pageMargins left="0.70866141732283472" right="0.70866141732283472" top="1.3385826771653544" bottom="0.74803149606299213" header="0.31496062992125984" footer="0.31496062992125984"/>
  <pageSetup paperSize="9" scale="7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39997558519241921"/>
    <pageSetUpPr fitToPage="1"/>
  </sheetPr>
  <dimension ref="B3:G108"/>
  <sheetViews>
    <sheetView showGridLines="0" topLeftCell="A81" zoomScale="102" zoomScaleNormal="102" workbookViewId="0">
      <selection activeCell="C40" sqref="C40"/>
    </sheetView>
  </sheetViews>
  <sheetFormatPr baseColWidth="10" defaultColWidth="11.42578125" defaultRowHeight="12.75"/>
  <cols>
    <col min="1" max="1" width="5.5703125" style="21" customWidth="1"/>
    <col min="2" max="2" width="55.28515625" style="21" bestFit="1" customWidth="1"/>
    <col min="3" max="3" width="19.42578125" style="21" bestFit="1" customWidth="1"/>
    <col min="4" max="4" width="19.7109375" style="21" bestFit="1" customWidth="1"/>
    <col min="5" max="5" width="15.42578125" style="21" customWidth="1"/>
    <col min="6" max="6" width="14.5703125" style="21" customWidth="1"/>
    <col min="7" max="7" width="17.7109375" style="21" bestFit="1" customWidth="1"/>
    <col min="8" max="8" width="19.5703125" style="21" customWidth="1"/>
    <col min="9" max="16384" width="11.42578125" style="21"/>
  </cols>
  <sheetData>
    <row r="3" spans="2:7">
      <c r="B3" s="165" t="s">
        <v>251</v>
      </c>
      <c r="C3" s="165"/>
      <c r="D3" s="165"/>
      <c r="E3" s="165"/>
      <c r="F3" s="165"/>
      <c r="G3" s="20"/>
    </row>
    <row r="4" spans="2:7" ht="13.5" thickBot="1">
      <c r="B4" s="165"/>
      <c r="C4" s="165"/>
      <c r="D4" s="165"/>
      <c r="E4" s="165"/>
      <c r="F4" s="165"/>
      <c r="G4" s="20"/>
    </row>
    <row r="5" spans="2:7" customFormat="1" ht="15">
      <c r="B5" s="189" t="s">
        <v>171</v>
      </c>
      <c r="C5" s="190" t="s">
        <v>179</v>
      </c>
      <c r="D5" s="190" t="s">
        <v>243</v>
      </c>
    </row>
    <row r="6" spans="2:7" customFormat="1" ht="15">
      <c r="B6" s="57" t="s">
        <v>580</v>
      </c>
      <c r="C6" s="43"/>
      <c r="D6" s="58"/>
      <c r="F6" s="17"/>
    </row>
    <row r="7" spans="2:7" customFormat="1" ht="15">
      <c r="B7" s="59" t="s">
        <v>208</v>
      </c>
      <c r="C7" s="63">
        <f>SUM(C6:C6)</f>
        <v>0</v>
      </c>
      <c r="D7" s="63">
        <f>SUM(D6:D6)</f>
        <v>0</v>
      </c>
      <c r="E7" s="19"/>
      <c r="F7" s="18"/>
    </row>
    <row r="8" spans="2:7">
      <c r="B8" s="474"/>
      <c r="C8" s="474"/>
      <c r="D8" s="474"/>
      <c r="E8" s="474"/>
      <c r="F8" s="159"/>
    </row>
    <row r="9" spans="2:7">
      <c r="B9" s="159"/>
      <c r="C9" s="167"/>
      <c r="D9" s="159"/>
      <c r="E9" s="159"/>
      <c r="F9" s="159"/>
    </row>
    <row r="10" spans="2:7">
      <c r="B10" s="466" t="s">
        <v>252</v>
      </c>
      <c r="C10" s="466"/>
      <c r="D10" s="466"/>
      <c r="E10" s="466"/>
      <c r="F10" s="466"/>
    </row>
    <row r="11" spans="2:7" ht="39" customHeight="1">
      <c r="B11" s="186" t="s">
        <v>171</v>
      </c>
      <c r="C11" s="186" t="s">
        <v>253</v>
      </c>
      <c r="D11" s="186" t="s">
        <v>230</v>
      </c>
      <c r="E11" s="186" t="s">
        <v>254</v>
      </c>
      <c r="F11" s="186" t="s">
        <v>255</v>
      </c>
    </row>
    <row r="12" spans="2:7">
      <c r="B12" s="246" t="s">
        <v>41</v>
      </c>
      <c r="C12" s="52">
        <f>+'Balance General'!G43</f>
        <v>4227400000</v>
      </c>
      <c r="D12" s="52">
        <f>+'Balance General'!F43-'Balance General'!G43</f>
        <v>0</v>
      </c>
      <c r="E12" s="52">
        <v>0</v>
      </c>
      <c r="F12" s="52">
        <f>SUM(C12:E12)</f>
        <v>4227400000</v>
      </c>
      <c r="G12" s="22"/>
    </row>
    <row r="13" spans="2:7">
      <c r="B13" s="246" t="s">
        <v>610</v>
      </c>
      <c r="C13" s="52">
        <f>+'Balance General'!G46</f>
        <v>803000000</v>
      </c>
      <c r="D13" s="52">
        <f>+'Balance General'!F46-'Balance General'!G46</f>
        <v>0</v>
      </c>
      <c r="E13" s="52">
        <v>0</v>
      </c>
      <c r="F13" s="52">
        <f t="shared" ref="F13:F18" si="0">SUM(C13:E13)</f>
        <v>803000000</v>
      </c>
      <c r="G13" s="22"/>
    </row>
    <row r="14" spans="2:7">
      <c r="B14" s="246" t="s">
        <v>256</v>
      </c>
      <c r="C14" s="52">
        <f>+'Balance General'!G44</f>
        <v>10015298</v>
      </c>
      <c r="D14" s="52">
        <f>+'Balance General'!F44-'Balance General'!G44</f>
        <v>0</v>
      </c>
      <c r="E14" s="52">
        <v>0</v>
      </c>
      <c r="F14" s="52">
        <f t="shared" si="0"/>
        <v>10015298</v>
      </c>
      <c r="G14" s="22"/>
    </row>
    <row r="15" spans="2:7">
      <c r="B15" s="246" t="s">
        <v>611</v>
      </c>
      <c r="C15" s="52">
        <f>+'Balance General'!G45</f>
        <v>14010438</v>
      </c>
      <c r="D15" s="52">
        <f>+'Balance General'!G45-'Balance General'!F45</f>
        <v>0</v>
      </c>
      <c r="E15" s="52"/>
      <c r="F15" s="52">
        <f t="shared" si="0"/>
        <v>14010438</v>
      </c>
      <c r="G15" s="22"/>
    </row>
    <row r="16" spans="2:7" ht="18.75" customHeight="1">
      <c r="B16" s="246" t="s">
        <v>257</v>
      </c>
      <c r="C16" s="52">
        <f>+'Balance General'!G47</f>
        <v>214652267</v>
      </c>
      <c r="D16" s="52">
        <f>+'Balance General'!F47-'Balance General'!G47</f>
        <v>0</v>
      </c>
      <c r="E16" s="52">
        <v>0</v>
      </c>
      <c r="F16" s="52">
        <f t="shared" si="0"/>
        <v>214652267</v>
      </c>
      <c r="G16" s="22"/>
    </row>
    <row r="17" spans="2:7">
      <c r="B17" s="246" t="s">
        <v>258</v>
      </c>
      <c r="C17" s="52">
        <f>+'Balance General'!G52</f>
        <v>-1543712172</v>
      </c>
      <c r="D17" s="52">
        <f>+'Balance General'!F52-'Balance General'!G52</f>
        <v>-83796416</v>
      </c>
      <c r="E17" s="52">
        <v>0</v>
      </c>
      <c r="F17" s="52">
        <f t="shared" si="0"/>
        <v>-1627508588</v>
      </c>
      <c r="G17" s="22"/>
    </row>
    <row r="18" spans="2:7">
      <c r="B18" s="246" t="s">
        <v>259</v>
      </c>
      <c r="C18" s="52">
        <f>+'Balance General'!G53</f>
        <v>-83796430</v>
      </c>
      <c r="D18" s="52">
        <v>0</v>
      </c>
      <c r="E18" s="52">
        <f>+'Balance General'!F53-'Balance General'!G53</f>
        <v>72485629</v>
      </c>
      <c r="F18" s="52">
        <f t="shared" si="0"/>
        <v>-11310801</v>
      </c>
      <c r="G18" s="22"/>
    </row>
    <row r="19" spans="2:7">
      <c r="B19" s="54" t="s">
        <v>260</v>
      </c>
      <c r="C19" s="55">
        <f t="shared" ref="C19:E19" si="1">SUM(C12:C18)</f>
        <v>3641569401</v>
      </c>
      <c r="D19" s="55">
        <f t="shared" si="1"/>
        <v>-83796416</v>
      </c>
      <c r="E19" s="55">
        <f t="shared" si="1"/>
        <v>72485629</v>
      </c>
      <c r="F19" s="55">
        <f>SUM(F12:F18)</f>
        <v>3630258614</v>
      </c>
      <c r="G19" s="33"/>
    </row>
    <row r="20" spans="2:7">
      <c r="B20" s="163" t="s">
        <v>261</v>
      </c>
      <c r="C20" s="159"/>
      <c r="D20" s="159"/>
      <c r="E20" s="159"/>
      <c r="F20" s="159"/>
    </row>
    <row r="21" spans="2:7">
      <c r="B21" s="160" t="s">
        <v>380</v>
      </c>
      <c r="C21" s="159"/>
      <c r="D21" s="159"/>
      <c r="E21" s="159"/>
      <c r="F21" s="159"/>
    </row>
    <row r="22" spans="2:7">
      <c r="B22" s="159"/>
      <c r="C22" s="159"/>
      <c r="D22" s="159"/>
      <c r="E22" s="159"/>
      <c r="F22" s="159"/>
    </row>
    <row r="23" spans="2:7">
      <c r="B23" s="466" t="s">
        <v>262</v>
      </c>
      <c r="C23" s="466"/>
      <c r="D23" s="466"/>
      <c r="E23" s="466"/>
      <c r="F23" s="466"/>
    </row>
    <row r="24" spans="2:7">
      <c r="B24" s="163" t="s">
        <v>263</v>
      </c>
      <c r="C24" s="159"/>
      <c r="D24" s="159"/>
      <c r="E24" s="159"/>
      <c r="F24" s="159"/>
    </row>
    <row r="25" spans="2:7">
      <c r="B25" s="482" t="s">
        <v>171</v>
      </c>
      <c r="C25" s="187" t="s">
        <v>265</v>
      </c>
      <c r="D25" s="187" t="s">
        <v>267</v>
      </c>
      <c r="E25" s="159"/>
      <c r="F25" s="159"/>
    </row>
    <row r="26" spans="2:7">
      <c r="B26" s="482"/>
      <c r="C26" s="187" t="s">
        <v>266</v>
      </c>
      <c r="D26" s="187" t="s">
        <v>268</v>
      </c>
      <c r="E26" s="159"/>
      <c r="F26" s="159"/>
    </row>
    <row r="27" spans="2:7">
      <c r="B27" s="210" t="s">
        <v>536</v>
      </c>
      <c r="C27" s="211">
        <f>+'Anexo 5n-5r'!E67+'Anexo 5n-5r'!E68</f>
        <v>0</v>
      </c>
      <c r="D27" s="211">
        <v>27284</v>
      </c>
      <c r="E27" s="159"/>
      <c r="F27" s="159"/>
    </row>
    <row r="28" spans="2:7">
      <c r="B28" s="210" t="s">
        <v>537</v>
      </c>
      <c r="C28" s="211"/>
      <c r="D28" s="211">
        <v>90072</v>
      </c>
      <c r="E28" s="159"/>
      <c r="F28" s="159"/>
    </row>
    <row r="29" spans="2:7">
      <c r="B29" s="140" t="s">
        <v>208</v>
      </c>
      <c r="C29" s="212">
        <f>SUM(C27:C28)</f>
        <v>0</v>
      </c>
      <c r="D29" s="212">
        <f>SUM(D27:D28)</f>
        <v>117356</v>
      </c>
      <c r="E29" s="159"/>
      <c r="F29" s="159"/>
    </row>
    <row r="30" spans="2:7">
      <c r="B30" s="161"/>
      <c r="C30" s="159"/>
      <c r="D30" s="159"/>
      <c r="E30" s="159"/>
      <c r="F30" s="159"/>
    </row>
    <row r="31" spans="2:7">
      <c r="B31" s="159"/>
      <c r="C31" s="159"/>
      <c r="D31" s="159"/>
      <c r="E31" s="159"/>
      <c r="F31" s="159"/>
    </row>
    <row r="32" spans="2:7">
      <c r="B32" s="162" t="s">
        <v>264</v>
      </c>
      <c r="C32" s="159"/>
      <c r="D32" s="159"/>
      <c r="E32" s="159"/>
      <c r="F32" s="159"/>
    </row>
    <row r="33" spans="2:7">
      <c r="B33" s="161" t="s">
        <v>184</v>
      </c>
      <c r="C33" s="159"/>
      <c r="D33" s="159"/>
      <c r="E33" s="159"/>
      <c r="F33" s="159"/>
    </row>
    <row r="34" spans="2:7">
      <c r="B34" s="482" t="s">
        <v>171</v>
      </c>
      <c r="C34" s="187" t="s">
        <v>265</v>
      </c>
      <c r="D34" s="187" t="s">
        <v>267</v>
      </c>
    </row>
    <row r="35" spans="2:7">
      <c r="B35" s="482"/>
      <c r="C35" s="187" t="s">
        <v>266</v>
      </c>
      <c r="D35" s="187" t="s">
        <v>268</v>
      </c>
    </row>
    <row r="36" spans="2:7">
      <c r="B36" s="57" t="s">
        <v>269</v>
      </c>
      <c r="C36" s="43">
        <v>39051837</v>
      </c>
      <c r="D36" s="43">
        <v>4208717</v>
      </c>
      <c r="E36" s="35"/>
      <c r="F36" s="23"/>
    </row>
    <row r="37" spans="2:7">
      <c r="B37" s="57" t="s">
        <v>270</v>
      </c>
      <c r="C37" s="43">
        <v>115926211</v>
      </c>
      <c r="D37" s="43">
        <v>43386463</v>
      </c>
      <c r="F37" s="23"/>
    </row>
    <row r="38" spans="2:7">
      <c r="B38" s="57" t="s">
        <v>351</v>
      </c>
      <c r="C38" s="43">
        <v>3207017</v>
      </c>
      <c r="D38" s="43">
        <v>18386937</v>
      </c>
      <c r="E38" s="35"/>
      <c r="F38" s="23"/>
    </row>
    <row r="39" spans="2:7">
      <c r="B39" s="57" t="s">
        <v>353</v>
      </c>
      <c r="C39" s="43">
        <v>0</v>
      </c>
      <c r="D39" s="43">
        <v>35970000</v>
      </c>
      <c r="E39" s="35"/>
      <c r="F39" s="23"/>
    </row>
    <row r="40" spans="2:7">
      <c r="B40" s="57" t="s">
        <v>352</v>
      </c>
      <c r="C40" s="43">
        <v>3040444</v>
      </c>
      <c r="D40" s="43">
        <v>0</v>
      </c>
      <c r="E40" s="35"/>
      <c r="F40" s="23"/>
    </row>
    <row r="41" spans="2:7">
      <c r="B41" s="57" t="s">
        <v>271</v>
      </c>
      <c r="C41" s="43"/>
      <c r="D41" s="43">
        <v>0</v>
      </c>
      <c r="E41" s="35"/>
      <c r="F41" s="23"/>
    </row>
    <row r="42" spans="2:7">
      <c r="B42" s="59" t="s">
        <v>208</v>
      </c>
      <c r="C42" s="63">
        <f>SUM(C36:C41)</f>
        <v>161225509</v>
      </c>
      <c r="D42" s="63">
        <f>SUM(D36:D41)</f>
        <v>101952117</v>
      </c>
      <c r="F42" s="290"/>
      <c r="G42" s="33"/>
    </row>
    <row r="45" spans="2:7">
      <c r="B45" s="163" t="s">
        <v>272</v>
      </c>
    </row>
    <row r="46" spans="2:7">
      <c r="B46" s="158" t="s">
        <v>273</v>
      </c>
    </row>
    <row r="47" spans="2:7">
      <c r="B47" s="160" t="s">
        <v>184</v>
      </c>
    </row>
    <row r="48" spans="2:7">
      <c r="B48" s="459" t="s">
        <v>248</v>
      </c>
      <c r="C48" s="186" t="s">
        <v>274</v>
      </c>
      <c r="D48" s="188" t="s">
        <v>279</v>
      </c>
    </row>
    <row r="49" spans="2:6">
      <c r="B49" s="459"/>
      <c r="C49" s="186" t="s">
        <v>155</v>
      </c>
      <c r="D49" s="188" t="s">
        <v>275</v>
      </c>
    </row>
    <row r="50" spans="2:6">
      <c r="B50" s="60" t="s">
        <v>276</v>
      </c>
      <c r="C50" s="56">
        <v>6810309</v>
      </c>
      <c r="D50" s="56">
        <v>3927064</v>
      </c>
      <c r="F50" s="24"/>
    </row>
    <row r="51" spans="2:6">
      <c r="B51" s="60" t="s">
        <v>324</v>
      </c>
      <c r="C51" s="56">
        <v>0</v>
      </c>
      <c r="D51" s="56">
        <v>481419</v>
      </c>
      <c r="F51" s="24"/>
    </row>
    <row r="52" spans="2:6">
      <c r="B52" s="60" t="s">
        <v>657</v>
      </c>
      <c r="C52" s="56">
        <v>10293823</v>
      </c>
      <c r="D52" s="56">
        <v>11077500</v>
      </c>
      <c r="F52" s="24"/>
    </row>
    <row r="53" spans="2:6">
      <c r="B53" s="60" t="s">
        <v>277</v>
      </c>
      <c r="C53" s="56">
        <v>269141</v>
      </c>
      <c r="D53" s="56"/>
      <c r="F53" s="24"/>
    </row>
    <row r="54" spans="2:6">
      <c r="B54" s="60" t="s">
        <v>278</v>
      </c>
      <c r="C54" s="56">
        <v>3092730</v>
      </c>
      <c r="D54" s="56"/>
      <c r="F54" s="24"/>
    </row>
    <row r="55" spans="2:6">
      <c r="B55" s="61" t="s">
        <v>260</v>
      </c>
      <c r="C55" s="62">
        <f>SUM(C50:C54)</f>
        <v>20466003</v>
      </c>
      <c r="D55" s="62">
        <f>SUM(D50:D54)</f>
        <v>15485983</v>
      </c>
      <c r="F55" s="25"/>
    </row>
    <row r="57" spans="2:6">
      <c r="B57" s="228" t="s">
        <v>577</v>
      </c>
    </row>
    <row r="58" spans="2:6" ht="13.5" thickBot="1">
      <c r="B58" s="229" t="s">
        <v>184</v>
      </c>
    </row>
    <row r="59" spans="2:6">
      <c r="B59" s="487" t="s">
        <v>248</v>
      </c>
      <c r="C59" s="233" t="s">
        <v>274</v>
      </c>
      <c r="D59" s="234" t="s">
        <v>279</v>
      </c>
    </row>
    <row r="60" spans="2:6" ht="13.5" thickBot="1">
      <c r="B60" s="488"/>
      <c r="C60" s="235" t="s">
        <v>155</v>
      </c>
      <c r="D60" s="236" t="s">
        <v>275</v>
      </c>
    </row>
    <row r="61" spans="2:6">
      <c r="B61" s="376" t="s">
        <v>658</v>
      </c>
      <c r="C61" s="377"/>
      <c r="D61" s="377">
        <v>4680593</v>
      </c>
      <c r="F61" s="25"/>
    </row>
    <row r="62" spans="2:6">
      <c r="B62" s="374" t="s">
        <v>659</v>
      </c>
      <c r="C62" s="375">
        <v>4537902</v>
      </c>
      <c r="D62" s="375">
        <v>4453387</v>
      </c>
      <c r="F62" s="24"/>
    </row>
    <row r="63" spans="2:6" ht="13.5" thickBot="1">
      <c r="B63" s="378"/>
      <c r="C63" s="379"/>
      <c r="D63" s="380"/>
      <c r="F63" s="25"/>
    </row>
    <row r="64" spans="2:6" ht="13.5" thickBot="1">
      <c r="B64" s="381" t="s">
        <v>260</v>
      </c>
      <c r="C64" s="382">
        <f>SUM(C61:C63)</f>
        <v>4537902</v>
      </c>
      <c r="D64" s="382">
        <f>SUM(D61:D63)</f>
        <v>9133980</v>
      </c>
      <c r="F64" s="25"/>
    </row>
    <row r="65" spans="2:7">
      <c r="B65" s="230"/>
      <c r="C65" s="232"/>
      <c r="D65" s="231"/>
      <c r="F65" s="25"/>
    </row>
    <row r="66" spans="2:7">
      <c r="B66" s="158" t="s">
        <v>280</v>
      </c>
    </row>
    <row r="67" spans="2:7">
      <c r="B67" s="160" t="s">
        <v>184</v>
      </c>
    </row>
    <row r="68" spans="2:7">
      <c r="B68" s="459" t="s">
        <v>248</v>
      </c>
      <c r="C68" s="186" t="s">
        <v>274</v>
      </c>
      <c r="D68" s="188" t="s">
        <v>279</v>
      </c>
    </row>
    <row r="69" spans="2:7">
      <c r="B69" s="459"/>
      <c r="C69" s="186" t="s">
        <v>155</v>
      </c>
      <c r="D69" s="188" t="s">
        <v>275</v>
      </c>
    </row>
    <row r="70" spans="2:7">
      <c r="B70" s="60" t="s">
        <v>281</v>
      </c>
      <c r="C70" s="56">
        <v>623611</v>
      </c>
      <c r="D70" s="56">
        <v>40000</v>
      </c>
    </row>
    <row r="71" spans="2:7">
      <c r="B71" s="60" t="s">
        <v>291</v>
      </c>
      <c r="C71" s="56">
        <v>777332</v>
      </c>
      <c r="D71" s="56">
        <v>930435</v>
      </c>
    </row>
    <row r="72" spans="2:7">
      <c r="B72" s="60" t="s">
        <v>599</v>
      </c>
      <c r="C72" s="56">
        <v>297272727</v>
      </c>
      <c r="D72" s="56">
        <v>57610667</v>
      </c>
    </row>
    <row r="73" spans="2:7">
      <c r="B73" s="60" t="s">
        <v>667</v>
      </c>
      <c r="C73" s="56"/>
      <c r="D73" s="56">
        <v>2297715</v>
      </c>
    </row>
    <row r="74" spans="2:7">
      <c r="B74" s="61" t="s">
        <v>260</v>
      </c>
      <c r="C74" s="62">
        <f>SUM(C70:C73)</f>
        <v>298673670</v>
      </c>
      <c r="D74" s="62">
        <f>SUM(D70:D73)</f>
        <v>60878817</v>
      </c>
    </row>
    <row r="77" spans="2:7">
      <c r="B77" s="158" t="s">
        <v>282</v>
      </c>
    </row>
    <row r="78" spans="2:7">
      <c r="B78" s="160" t="s">
        <v>184</v>
      </c>
      <c r="G78" s="33"/>
    </row>
    <row r="79" spans="2:7">
      <c r="B79" s="459" t="s">
        <v>248</v>
      </c>
      <c r="C79" s="186" t="s">
        <v>274</v>
      </c>
      <c r="D79" s="188" t="s">
        <v>279</v>
      </c>
      <c r="G79" s="33"/>
    </row>
    <row r="80" spans="2:7">
      <c r="B80" s="459"/>
      <c r="C80" s="186" t="s">
        <v>155</v>
      </c>
      <c r="D80" s="188" t="s">
        <v>275</v>
      </c>
      <c r="G80" s="33"/>
    </row>
    <row r="81" spans="2:7">
      <c r="B81" s="57" t="s">
        <v>646</v>
      </c>
      <c r="C81" s="43">
        <v>90592010</v>
      </c>
      <c r="D81" s="43">
        <v>59340660</v>
      </c>
      <c r="E81" s="33"/>
      <c r="G81" s="33"/>
    </row>
    <row r="82" spans="2:7">
      <c r="B82" s="57" t="s">
        <v>283</v>
      </c>
      <c r="C82" s="43">
        <v>14947682</v>
      </c>
      <c r="D82" s="43">
        <v>9791208</v>
      </c>
      <c r="G82" s="33"/>
    </row>
    <row r="83" spans="2:7">
      <c r="B83" s="57" t="s">
        <v>284</v>
      </c>
      <c r="C83" s="43">
        <v>7546317</v>
      </c>
      <c r="D83" s="43"/>
      <c r="G83" s="33"/>
    </row>
    <row r="84" spans="2:7">
      <c r="B84" s="57" t="s">
        <v>285</v>
      </c>
      <c r="C84" s="43">
        <v>0</v>
      </c>
      <c r="D84" s="43"/>
      <c r="G84" s="33"/>
    </row>
    <row r="85" spans="2:7">
      <c r="B85" s="57" t="s">
        <v>286</v>
      </c>
      <c r="C85" s="43">
        <v>0</v>
      </c>
      <c r="D85" s="43"/>
    </row>
    <row r="86" spans="2:7">
      <c r="B86" s="57" t="s">
        <v>287</v>
      </c>
      <c r="C86" s="43">
        <v>12727274</v>
      </c>
      <c r="D86" s="43">
        <v>12727274</v>
      </c>
    </row>
    <row r="87" spans="2:7">
      <c r="B87" s="57" t="s">
        <v>288</v>
      </c>
      <c r="C87" s="43">
        <v>19788951</v>
      </c>
      <c r="D87" s="43">
        <v>59696575</v>
      </c>
    </row>
    <row r="88" spans="2:7">
      <c r="B88" s="57" t="s">
        <v>738</v>
      </c>
      <c r="C88" s="43">
        <v>3646900</v>
      </c>
      <c r="D88" s="43">
        <v>3967699</v>
      </c>
    </row>
    <row r="89" spans="2:7">
      <c r="B89" s="57" t="s">
        <v>289</v>
      </c>
      <c r="C89" s="43"/>
      <c r="D89" s="43"/>
    </row>
    <row r="90" spans="2:7">
      <c r="B90" s="57" t="s">
        <v>328</v>
      </c>
      <c r="C90" s="43"/>
      <c r="D90" s="43"/>
      <c r="F90" s="36"/>
    </row>
    <row r="91" spans="2:7">
      <c r="B91" s="57" t="s">
        <v>290</v>
      </c>
      <c r="C91" s="43">
        <v>13636365</v>
      </c>
      <c r="D91" s="43">
        <v>13636365</v>
      </c>
    </row>
    <row r="92" spans="2:7">
      <c r="B92" s="57" t="s">
        <v>354</v>
      </c>
      <c r="C92" s="43">
        <v>5791975</v>
      </c>
      <c r="D92" s="43">
        <v>3971536</v>
      </c>
    </row>
    <row r="93" spans="2:7">
      <c r="B93" s="57" t="s">
        <v>292</v>
      </c>
      <c r="C93" s="43">
        <v>616750</v>
      </c>
      <c r="D93" s="43">
        <v>216172</v>
      </c>
    </row>
    <row r="94" spans="2:7">
      <c r="B94" s="57" t="s">
        <v>293</v>
      </c>
      <c r="C94" s="43"/>
      <c r="D94" s="43"/>
    </row>
    <row r="95" spans="2:7">
      <c r="B95" s="57" t="s">
        <v>294</v>
      </c>
      <c r="C95" s="43">
        <v>6638833</v>
      </c>
      <c r="D95" s="43"/>
    </row>
    <row r="96" spans="2:7">
      <c r="B96" s="57" t="s">
        <v>355</v>
      </c>
      <c r="C96" s="43"/>
      <c r="D96" s="43">
        <v>431508</v>
      </c>
    </row>
    <row r="97" spans="2:6">
      <c r="B97" s="57" t="s">
        <v>327</v>
      </c>
      <c r="C97" s="43">
        <v>1600000</v>
      </c>
      <c r="D97" s="43"/>
    </row>
    <row r="98" spans="2:6">
      <c r="B98" s="57" t="s">
        <v>767</v>
      </c>
      <c r="C98" s="43">
        <v>28826456</v>
      </c>
      <c r="D98" s="43"/>
    </row>
    <row r="99" spans="2:6">
      <c r="B99" s="57" t="s">
        <v>295</v>
      </c>
      <c r="C99" s="43"/>
      <c r="D99" s="43">
        <v>550880</v>
      </c>
    </row>
    <row r="100" spans="2:6">
      <c r="B100" s="57" t="s">
        <v>296</v>
      </c>
      <c r="C100" s="43"/>
      <c r="D100" s="43"/>
    </row>
    <row r="101" spans="2:6">
      <c r="B101" s="57" t="s">
        <v>297</v>
      </c>
      <c r="C101" s="43"/>
      <c r="D101" s="43"/>
    </row>
    <row r="102" spans="2:6">
      <c r="B102" s="57" t="s">
        <v>298</v>
      </c>
      <c r="C102" s="43">
        <v>2731093</v>
      </c>
      <c r="D102" s="43">
        <v>20786890</v>
      </c>
    </row>
    <row r="103" spans="2:6">
      <c r="B103" s="57" t="s">
        <v>299</v>
      </c>
      <c r="C103" s="43"/>
      <c r="D103" s="43"/>
    </row>
    <row r="104" spans="2:6">
      <c r="B104" s="59" t="s">
        <v>260</v>
      </c>
      <c r="C104" s="63">
        <f>SUM(C81:C103)</f>
        <v>209090606</v>
      </c>
      <c r="D104" s="63">
        <f>SUM(D81:D103)</f>
        <v>185116767</v>
      </c>
      <c r="E104" s="35"/>
      <c r="F104" s="35"/>
    </row>
    <row r="105" spans="2:6">
      <c r="B105" s="26"/>
      <c r="C105" s="18"/>
      <c r="D105" s="18"/>
    </row>
    <row r="106" spans="2:6">
      <c r="B106" s="26"/>
      <c r="C106" s="131"/>
      <c r="D106" s="18"/>
    </row>
    <row r="107" spans="2:6">
      <c r="B107" s="26"/>
      <c r="C107" s="18"/>
      <c r="D107" s="18"/>
    </row>
    <row r="108" spans="2:6">
      <c r="B108" s="26"/>
      <c r="C108" s="18"/>
      <c r="D108" s="18"/>
    </row>
  </sheetData>
  <mergeCells count="9">
    <mergeCell ref="B68:B69"/>
    <mergeCell ref="B79:B80"/>
    <mergeCell ref="B8:E8"/>
    <mergeCell ref="B10:F10"/>
    <mergeCell ref="B23:F23"/>
    <mergeCell ref="B34:B35"/>
    <mergeCell ref="B48:B49"/>
    <mergeCell ref="B25:B26"/>
    <mergeCell ref="B59:B60"/>
  </mergeCells>
  <pageMargins left="0.70866141732283472" right="0.70866141732283472" top="1.3385826771653544" bottom="0.74803149606299213" header="0.31496062992125984" footer="0.31496062992125984"/>
  <pageSetup paperSize="9" scale="5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39997558519241921"/>
    <pageSetUpPr fitToPage="1"/>
  </sheetPr>
  <dimension ref="B3:F40"/>
  <sheetViews>
    <sheetView showGridLines="0" zoomScale="102" zoomScaleNormal="102" workbookViewId="0">
      <selection activeCell="C8" sqref="C8"/>
    </sheetView>
  </sheetViews>
  <sheetFormatPr baseColWidth="10" defaultColWidth="10.7109375" defaultRowHeight="15"/>
  <cols>
    <col min="1" max="1" width="4.7109375" customWidth="1"/>
    <col min="2" max="2" width="39.42578125" customWidth="1"/>
    <col min="3" max="3" width="20.5703125" customWidth="1"/>
    <col min="4" max="4" width="23" customWidth="1"/>
    <col min="5" max="5" width="16.28515625" customWidth="1"/>
    <col min="8" max="8" width="16.5703125" customWidth="1"/>
    <col min="9" max="9" width="15.5703125" customWidth="1"/>
  </cols>
  <sheetData>
    <row r="3" spans="2:6">
      <c r="B3" s="481" t="s">
        <v>300</v>
      </c>
      <c r="C3" s="481"/>
      <c r="D3" s="481"/>
      <c r="E3" s="481"/>
      <c r="F3" s="481"/>
    </row>
    <row r="4" spans="2:6">
      <c r="B4" s="474" t="s">
        <v>184</v>
      </c>
      <c r="C4" s="474"/>
      <c r="D4" s="474"/>
      <c r="E4" s="474"/>
      <c r="F4" s="474"/>
    </row>
    <row r="5" spans="2:6">
      <c r="B5" s="166" t="s">
        <v>402</v>
      </c>
      <c r="C5" s="166"/>
      <c r="D5" s="166"/>
      <c r="E5" s="165"/>
      <c r="F5" s="159"/>
    </row>
    <row r="6" spans="2:6">
      <c r="B6" s="145"/>
      <c r="C6" s="145"/>
      <c r="D6" s="145"/>
      <c r="E6" s="46"/>
    </row>
    <row r="7" spans="2:6" ht="25.15" customHeight="1">
      <c r="B7" s="183" t="s">
        <v>248</v>
      </c>
      <c r="C7" s="184" t="s">
        <v>238</v>
      </c>
      <c r="D7" s="184" t="s">
        <v>301</v>
      </c>
    </row>
    <row r="8" spans="2:6">
      <c r="B8" s="146" t="s">
        <v>591</v>
      </c>
      <c r="C8" s="147">
        <v>6987900</v>
      </c>
      <c r="D8" s="147">
        <v>-97752</v>
      </c>
    </row>
    <row r="9" spans="2:6">
      <c r="B9" s="146" t="s">
        <v>592</v>
      </c>
      <c r="C9" s="147">
        <v>0</v>
      </c>
      <c r="D9" s="147">
        <v>332586</v>
      </c>
    </row>
    <row r="10" spans="2:6">
      <c r="B10" s="146" t="s">
        <v>689</v>
      </c>
      <c r="C10" s="147">
        <v>4221710</v>
      </c>
      <c r="D10" s="147">
        <v>0</v>
      </c>
    </row>
    <row r="11" spans="2:6">
      <c r="B11" s="146" t="s">
        <v>593</v>
      </c>
      <c r="C11" s="147">
        <v>1689761</v>
      </c>
      <c r="D11" s="147">
        <v>0</v>
      </c>
    </row>
    <row r="12" spans="2:6">
      <c r="B12" s="146" t="s">
        <v>594</v>
      </c>
      <c r="C12" s="147"/>
      <c r="D12" s="147">
        <v>0</v>
      </c>
    </row>
    <row r="13" spans="2:6">
      <c r="B13" s="146"/>
      <c r="C13" s="147"/>
      <c r="D13" s="147"/>
    </row>
    <row r="14" spans="2:6">
      <c r="B14" s="148" t="s">
        <v>302</v>
      </c>
      <c r="C14" s="149">
        <f>SUM(C8:C13)</f>
        <v>12899371</v>
      </c>
      <c r="D14" s="149">
        <f>SUM(D8:D13)</f>
        <v>234834</v>
      </c>
    </row>
    <row r="15" spans="2:6">
      <c r="B15" s="27"/>
      <c r="C15" s="27"/>
      <c r="D15" s="27"/>
    </row>
    <row r="16" spans="2:6">
      <c r="B16" s="139" t="s">
        <v>379</v>
      </c>
      <c r="C16" s="27"/>
      <c r="D16" s="27"/>
    </row>
    <row r="17" spans="2:6" ht="30">
      <c r="B17" s="183" t="s">
        <v>248</v>
      </c>
      <c r="C17" s="184" t="s">
        <v>238</v>
      </c>
      <c r="D17" s="184" t="s">
        <v>301</v>
      </c>
    </row>
    <row r="18" spans="2:6">
      <c r="B18" s="150" t="s">
        <v>378</v>
      </c>
      <c r="C18" s="151">
        <v>0</v>
      </c>
      <c r="D18" s="151">
        <v>0</v>
      </c>
    </row>
    <row r="19" spans="2:6">
      <c r="B19" s="148" t="s">
        <v>302</v>
      </c>
      <c r="C19" s="152">
        <v>0</v>
      </c>
      <c r="D19" s="152">
        <v>0</v>
      </c>
    </row>
    <row r="21" spans="2:6">
      <c r="B21" s="163" t="s">
        <v>303</v>
      </c>
      <c r="C21" s="159"/>
      <c r="D21" s="159"/>
      <c r="E21" s="159"/>
      <c r="F21" s="159"/>
    </row>
    <row r="22" spans="2:6">
      <c r="B22" s="474" t="s">
        <v>184</v>
      </c>
      <c r="C22" s="474"/>
      <c r="D22" s="474"/>
      <c r="E22" s="474"/>
      <c r="F22" s="474"/>
    </row>
    <row r="24" spans="2:6">
      <c r="B24" s="158" t="s">
        <v>403</v>
      </c>
    </row>
    <row r="25" spans="2:6" ht="30">
      <c r="B25" s="183" t="s">
        <v>248</v>
      </c>
      <c r="C25" s="184" t="s">
        <v>238</v>
      </c>
      <c r="D25" s="184" t="s">
        <v>301</v>
      </c>
    </row>
    <row r="26" spans="2:6">
      <c r="B26" s="47" t="s">
        <v>598</v>
      </c>
      <c r="C26" s="132">
        <v>2439558</v>
      </c>
      <c r="D26" s="132">
        <v>2368</v>
      </c>
    </row>
    <row r="27" spans="2:6">
      <c r="B27" s="47" t="s">
        <v>375</v>
      </c>
      <c r="C27" s="132"/>
      <c r="D27" s="132">
        <v>591180</v>
      </c>
    </row>
    <row r="28" spans="2:6">
      <c r="B28" s="245" t="s">
        <v>376</v>
      </c>
      <c r="C28" s="132">
        <v>4725680</v>
      </c>
      <c r="D28" s="132"/>
    </row>
    <row r="29" spans="2:6">
      <c r="B29" s="47" t="s">
        <v>660</v>
      </c>
      <c r="C29" s="132"/>
      <c r="D29" s="132">
        <v>2543496</v>
      </c>
    </row>
    <row r="30" spans="2:6">
      <c r="B30" s="48" t="s">
        <v>302</v>
      </c>
      <c r="C30" s="49">
        <f>SUM(C26:C29)</f>
        <v>7165238</v>
      </c>
      <c r="D30" s="49">
        <f>SUM(D26:D29)</f>
        <v>3137044</v>
      </c>
      <c r="E30" s="13"/>
    </row>
    <row r="32" spans="2:6">
      <c r="B32" s="158" t="s">
        <v>404</v>
      </c>
    </row>
    <row r="33" spans="2:4" ht="25.5">
      <c r="B33" s="185" t="s">
        <v>248</v>
      </c>
      <c r="C33" s="186" t="s">
        <v>238</v>
      </c>
      <c r="D33" s="186" t="s">
        <v>301</v>
      </c>
    </row>
    <row r="34" spans="2:4">
      <c r="B34" s="51" t="s">
        <v>595</v>
      </c>
      <c r="C34" s="52"/>
      <c r="D34" s="52"/>
    </row>
    <row r="35" spans="2:4">
      <c r="B35" s="51" t="s">
        <v>596</v>
      </c>
      <c r="C35" s="52"/>
      <c r="D35" s="52">
        <v>0</v>
      </c>
    </row>
    <row r="36" spans="2:4">
      <c r="B36" s="51"/>
      <c r="C36" s="53"/>
      <c r="D36" s="53"/>
    </row>
    <row r="37" spans="2:4">
      <c r="B37" s="54" t="s">
        <v>302</v>
      </c>
      <c r="C37" s="55">
        <f>SUM(C34:C36)</f>
        <v>0</v>
      </c>
      <c r="D37" s="55">
        <f>SUM(D34:D36)</f>
        <v>0</v>
      </c>
    </row>
    <row r="39" spans="2:4">
      <c r="B39" s="158" t="s">
        <v>304</v>
      </c>
    </row>
    <row r="40" spans="2:4">
      <c r="B40" s="160" t="s">
        <v>226</v>
      </c>
    </row>
  </sheetData>
  <mergeCells count="3">
    <mergeCell ref="B3:F3"/>
    <mergeCell ref="B4:F4"/>
    <mergeCell ref="B22:F22"/>
  </mergeCells>
  <pageMargins left="0.70866141732283472" right="0.70866141732283472" top="1.1417322834645669" bottom="0.74803149606299213" header="0.31496062992125984" footer="0.31496062992125984"/>
  <pageSetup scale="8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39997558519241921"/>
    <pageSetUpPr fitToPage="1"/>
  </sheetPr>
  <dimension ref="B2:E38"/>
  <sheetViews>
    <sheetView showGridLines="0" topLeftCell="A23" zoomScale="99" zoomScaleNormal="99" workbookViewId="0">
      <selection activeCell="D20" sqref="D20"/>
    </sheetView>
  </sheetViews>
  <sheetFormatPr baseColWidth="10" defaultColWidth="10.7109375" defaultRowHeight="15"/>
  <cols>
    <col min="1" max="1" width="5" customWidth="1"/>
    <col min="2" max="2" width="3.28515625" style="98" customWidth="1"/>
    <col min="3" max="3" width="92.42578125" customWidth="1"/>
    <col min="4" max="4" width="42.7109375" bestFit="1" customWidth="1"/>
    <col min="5" max="5" width="14.28515625" customWidth="1"/>
  </cols>
  <sheetData>
    <row r="2" spans="2:5" ht="35.25" customHeight="1">
      <c r="B2" s="12" t="s">
        <v>305</v>
      </c>
      <c r="C2" s="481" t="s">
        <v>306</v>
      </c>
      <c r="D2" s="481"/>
      <c r="E2" s="481"/>
    </row>
    <row r="3" spans="2:5">
      <c r="C3" s="466" t="s">
        <v>307</v>
      </c>
      <c r="D3" s="466"/>
      <c r="E3" s="466"/>
    </row>
    <row r="4" spans="2:5">
      <c r="C4" s="474" t="s">
        <v>380</v>
      </c>
      <c r="D4" s="474"/>
      <c r="E4" s="474"/>
    </row>
    <row r="5" spans="2:5">
      <c r="C5" s="159"/>
      <c r="D5" s="159"/>
      <c r="E5" s="159"/>
    </row>
    <row r="6" spans="2:5">
      <c r="C6" s="466" t="s">
        <v>308</v>
      </c>
      <c r="D6" s="466"/>
      <c r="E6" s="466"/>
    </row>
    <row r="7" spans="2:5">
      <c r="C7" s="474" t="s">
        <v>380</v>
      </c>
      <c r="D7" s="474"/>
      <c r="E7" s="159"/>
    </row>
    <row r="8" spans="2:5" ht="33" customHeight="1">
      <c r="C8" s="481" t="s">
        <v>401</v>
      </c>
      <c r="D8" s="481"/>
      <c r="E8" s="481"/>
    </row>
    <row r="10" spans="2:5">
      <c r="C10" s="490" t="s">
        <v>309</v>
      </c>
      <c r="D10" s="491"/>
    </row>
    <row r="11" spans="2:5">
      <c r="C11" s="383" t="s">
        <v>430</v>
      </c>
      <c r="D11" s="177" t="s">
        <v>431</v>
      </c>
    </row>
    <row r="12" spans="2:5">
      <c r="C12" s="383" t="s">
        <v>432</v>
      </c>
      <c r="D12" s="177">
        <v>1514003255</v>
      </c>
    </row>
    <row r="13" spans="2:5">
      <c r="C13" s="383" t="s">
        <v>433</v>
      </c>
      <c r="D13" s="177" t="s">
        <v>434</v>
      </c>
    </row>
    <row r="14" spans="2:5">
      <c r="C14" s="383" t="s">
        <v>435</v>
      </c>
      <c r="D14" s="177" t="s">
        <v>436</v>
      </c>
    </row>
    <row r="15" spans="2:5">
      <c r="C15" s="383" t="s">
        <v>437</v>
      </c>
      <c r="D15" s="385">
        <v>45345</v>
      </c>
    </row>
    <row r="16" spans="2:5">
      <c r="C16" s="383" t="s">
        <v>438</v>
      </c>
      <c r="D16" s="386">
        <v>45352</v>
      </c>
    </row>
    <row r="17" spans="2:5">
      <c r="C17" s="383" t="s">
        <v>439</v>
      </c>
      <c r="D17" s="386">
        <v>45717</v>
      </c>
    </row>
    <row r="18" spans="2:5">
      <c r="C18" s="383" t="s">
        <v>440</v>
      </c>
      <c r="D18" s="177">
        <v>366</v>
      </c>
    </row>
    <row r="19" spans="2:5">
      <c r="C19" s="383" t="s">
        <v>441</v>
      </c>
      <c r="D19" s="384">
        <v>670093500</v>
      </c>
    </row>
    <row r="21" spans="2:5">
      <c r="B21" s="12" t="s">
        <v>349</v>
      </c>
      <c r="C21" s="162" t="s">
        <v>310</v>
      </c>
      <c r="D21" s="159"/>
      <c r="E21" s="159"/>
    </row>
    <row r="22" spans="2:5" ht="32.25" customHeight="1">
      <c r="C22" s="489" t="s">
        <v>341</v>
      </c>
      <c r="D22" s="489"/>
      <c r="E22" s="489"/>
    </row>
    <row r="23" spans="2:5">
      <c r="C23" s="159"/>
      <c r="D23" s="159"/>
      <c r="E23" s="159"/>
    </row>
    <row r="24" spans="2:5">
      <c r="B24" s="99" t="s">
        <v>311</v>
      </c>
      <c r="C24" s="163" t="s">
        <v>312</v>
      </c>
      <c r="D24" s="159"/>
      <c r="E24" s="159"/>
    </row>
    <row r="25" spans="2:5">
      <c r="C25" s="164" t="s">
        <v>340</v>
      </c>
      <c r="D25" s="159"/>
      <c r="E25" s="159"/>
    </row>
    <row r="26" spans="2:5">
      <c r="C26" s="159"/>
      <c r="D26" s="159"/>
      <c r="E26" s="159"/>
    </row>
    <row r="27" spans="2:5">
      <c r="B27" s="12" t="s">
        <v>350</v>
      </c>
      <c r="C27" s="158" t="s">
        <v>313</v>
      </c>
      <c r="D27" s="159"/>
      <c r="E27" s="159"/>
    </row>
    <row r="28" spans="2:5" ht="25.5">
      <c r="C28" s="160" t="s">
        <v>442</v>
      </c>
      <c r="D28" s="159"/>
      <c r="E28" s="159"/>
    </row>
    <row r="29" spans="2:5">
      <c r="C29" s="159"/>
      <c r="D29" s="159"/>
      <c r="E29" s="159"/>
    </row>
    <row r="30" spans="2:5">
      <c r="B30" s="12" t="s">
        <v>314</v>
      </c>
      <c r="C30" s="165" t="s">
        <v>315</v>
      </c>
      <c r="D30" s="159"/>
      <c r="E30" s="159"/>
    </row>
    <row r="31" spans="2:5">
      <c r="C31" s="160" t="s">
        <v>380</v>
      </c>
      <c r="D31" s="159"/>
      <c r="E31" s="159"/>
    </row>
    <row r="32" spans="2:5">
      <c r="C32" s="159"/>
      <c r="D32" s="159"/>
      <c r="E32" s="159"/>
    </row>
    <row r="33" spans="2:5">
      <c r="B33" s="12" t="s">
        <v>316</v>
      </c>
      <c r="C33" s="158" t="s">
        <v>317</v>
      </c>
      <c r="D33" s="159"/>
      <c r="E33" s="159"/>
    </row>
    <row r="34" spans="2:5">
      <c r="C34" s="164" t="s">
        <v>339</v>
      </c>
      <c r="D34" s="159"/>
      <c r="E34" s="159"/>
    </row>
    <row r="36" spans="2:5">
      <c r="C36" s="134"/>
    </row>
    <row r="37" spans="2:5">
      <c r="C37" s="135"/>
    </row>
    <row r="38" spans="2:5">
      <c r="C38" s="136"/>
    </row>
  </sheetData>
  <mergeCells count="8">
    <mergeCell ref="C22:E22"/>
    <mergeCell ref="C8:E8"/>
    <mergeCell ref="C2:E2"/>
    <mergeCell ref="C3:E3"/>
    <mergeCell ref="C4:E4"/>
    <mergeCell ref="C6:E6"/>
    <mergeCell ref="C7:D7"/>
    <mergeCell ref="C10:D10"/>
  </mergeCells>
  <pageMargins left="0.70866141732283472" right="0.70866141732283472" top="1.3385826771653544" bottom="0.74803149606299213" header="0.31496062992125984" footer="0.31496062992125984"/>
  <pageSetup scale="57" orientation="portrait" r:id="rId1"/>
  <colBreaks count="1" manualBreakCount="1">
    <brk id="2" max="3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pageSetUpPr fitToPage="1"/>
  </sheetPr>
  <dimension ref="A3:N211"/>
  <sheetViews>
    <sheetView showGridLines="0" tabSelected="1" topLeftCell="A40" zoomScale="102" zoomScaleNormal="102" workbookViewId="0">
      <selection activeCell="D55" sqref="D55"/>
    </sheetView>
  </sheetViews>
  <sheetFormatPr baseColWidth="10" defaultColWidth="10.7109375" defaultRowHeight="15"/>
  <cols>
    <col min="1" max="1" width="3.5703125" style="366" bestFit="1" customWidth="1"/>
    <col min="2" max="2" width="43" bestFit="1" customWidth="1"/>
    <col min="3" max="3" width="34.28515625" bestFit="1" customWidth="1"/>
    <col min="4" max="4" width="40.85546875" bestFit="1" customWidth="1"/>
    <col min="5" max="5" width="5" bestFit="1" customWidth="1"/>
    <col min="6" max="6" width="6" bestFit="1" customWidth="1"/>
    <col min="7" max="7" width="9.28515625" bestFit="1" customWidth="1"/>
    <col min="8" max="8" width="9.42578125" bestFit="1" customWidth="1"/>
    <col min="9" max="9" width="9.42578125" style="204" bestFit="1" customWidth="1"/>
    <col min="10" max="10" width="11.7109375" style="182" bestFit="1" customWidth="1"/>
    <col min="11" max="11" width="17.140625" bestFit="1" customWidth="1"/>
    <col min="12" max="12" width="11.85546875" bestFit="1" customWidth="1"/>
    <col min="13" max="13" width="25.7109375" bestFit="1" customWidth="1"/>
    <col min="14" max="14" width="10.7109375" style="34"/>
  </cols>
  <sheetData>
    <row r="3" spans="2:10">
      <c r="B3" s="411" t="s">
        <v>0</v>
      </c>
      <c r="C3" s="412"/>
      <c r="D3" s="412"/>
      <c r="E3" s="412"/>
      <c r="F3" s="412"/>
      <c r="G3" s="412"/>
      <c r="H3" s="412"/>
      <c r="I3" s="412"/>
      <c r="J3" s="412"/>
    </row>
    <row r="4" spans="2:10">
      <c r="B4" s="413" t="s">
        <v>741</v>
      </c>
      <c r="C4" s="413"/>
      <c r="D4" s="413"/>
      <c r="E4" s="413"/>
      <c r="F4" s="413"/>
      <c r="G4" s="413"/>
      <c r="H4" s="413"/>
      <c r="I4" s="413"/>
      <c r="J4" s="413"/>
    </row>
    <row r="5" spans="2:10" ht="6.6" customHeight="1">
      <c r="I5" s="299"/>
    </row>
    <row r="6" spans="2:10">
      <c r="B6" s="154" t="s">
        <v>381</v>
      </c>
      <c r="C6" s="154"/>
      <c r="D6" s="154"/>
      <c r="E6" s="154"/>
      <c r="F6" s="154"/>
      <c r="G6" s="154"/>
      <c r="H6" s="154"/>
      <c r="I6" s="203"/>
      <c r="J6" s="202"/>
    </row>
    <row r="7" spans="2:10" ht="6" customHeight="1">
      <c r="B7" s="179"/>
      <c r="C7" s="179"/>
      <c r="D7" s="179"/>
      <c r="E7" s="179"/>
      <c r="F7" s="179"/>
      <c r="G7" s="179"/>
      <c r="H7" s="179"/>
      <c r="I7" s="300"/>
    </row>
    <row r="8" spans="2:10">
      <c r="B8" s="267" t="s">
        <v>382</v>
      </c>
      <c r="C8" s="267"/>
      <c r="D8" s="267" t="s">
        <v>436</v>
      </c>
      <c r="E8" s="267"/>
      <c r="F8" s="267"/>
      <c r="G8" s="267"/>
      <c r="H8" s="179"/>
      <c r="I8" s="300"/>
    </row>
    <row r="9" spans="2:10">
      <c r="B9" s="267" t="s">
        <v>390</v>
      </c>
      <c r="C9" s="267"/>
      <c r="D9" s="267" t="s">
        <v>453</v>
      </c>
      <c r="E9" s="267"/>
      <c r="F9" s="267"/>
      <c r="G9" s="267"/>
      <c r="H9" s="179"/>
      <c r="I9" s="300"/>
    </row>
    <row r="10" spans="2:10">
      <c r="B10" s="267" t="s">
        <v>383</v>
      </c>
      <c r="C10" s="267"/>
      <c r="D10" s="267" t="s">
        <v>623</v>
      </c>
      <c r="E10" s="267"/>
      <c r="F10" s="267"/>
      <c r="G10" s="267"/>
      <c r="H10" s="179"/>
      <c r="I10" s="300"/>
    </row>
    <row r="11" spans="2:10">
      <c r="B11" s="267" t="s">
        <v>384</v>
      </c>
      <c r="C11" s="267"/>
      <c r="D11" s="268">
        <v>1</v>
      </c>
      <c r="E11" s="267"/>
      <c r="F11" s="267"/>
      <c r="G11" s="267"/>
      <c r="H11" s="267"/>
      <c r="I11" s="300"/>
    </row>
    <row r="12" spans="2:10">
      <c r="B12" s="267" t="s">
        <v>385</v>
      </c>
      <c r="C12" s="267"/>
      <c r="D12" s="201" t="s">
        <v>454</v>
      </c>
      <c r="E12" s="201"/>
      <c r="F12" s="201"/>
      <c r="G12" s="201"/>
      <c r="H12" s="179"/>
      <c r="I12" s="300"/>
    </row>
    <row r="13" spans="2:10">
      <c r="B13" s="267" t="s">
        <v>386</v>
      </c>
      <c r="C13" s="267"/>
      <c r="D13" s="267" t="s">
        <v>455</v>
      </c>
      <c r="E13" s="267"/>
      <c r="F13" s="267"/>
      <c r="G13" s="267"/>
      <c r="H13" s="179"/>
      <c r="I13" s="300"/>
    </row>
    <row r="14" spans="2:10">
      <c r="B14" s="267" t="s">
        <v>387</v>
      </c>
      <c r="C14" s="267"/>
      <c r="D14" s="267" t="s">
        <v>456</v>
      </c>
      <c r="E14" s="267"/>
      <c r="F14" s="267"/>
      <c r="G14" s="267"/>
      <c r="H14" s="179"/>
      <c r="I14" s="300"/>
    </row>
    <row r="15" spans="2:10">
      <c r="B15" s="267" t="s">
        <v>388</v>
      </c>
      <c r="C15" s="267"/>
      <c r="D15" s="267" t="s">
        <v>457</v>
      </c>
      <c r="E15" s="267"/>
      <c r="F15" s="267"/>
      <c r="G15" s="267"/>
      <c r="H15" s="179"/>
      <c r="I15" s="300"/>
    </row>
    <row r="16" spans="2:10">
      <c r="B16" s="267" t="s">
        <v>389</v>
      </c>
      <c r="C16" s="267"/>
      <c r="D16" s="201" t="s">
        <v>454</v>
      </c>
      <c r="E16" s="201"/>
      <c r="F16" s="201"/>
      <c r="G16" s="201"/>
      <c r="H16" s="179"/>
      <c r="I16" s="300"/>
    </row>
    <row r="17" spans="1:14" ht="8.85" customHeight="1">
      <c r="B17" s="179"/>
      <c r="C17" s="179"/>
      <c r="D17" s="179"/>
      <c r="E17" s="179"/>
      <c r="F17" s="179"/>
      <c r="G17" s="179"/>
      <c r="H17" s="179"/>
      <c r="I17" s="300"/>
    </row>
    <row r="18" spans="1:14">
      <c r="B18" s="154" t="s">
        <v>391</v>
      </c>
      <c r="C18" s="154"/>
      <c r="D18" s="154"/>
      <c r="E18" s="154"/>
      <c r="F18" s="154"/>
      <c r="G18" s="154"/>
      <c r="H18" s="154"/>
      <c r="I18" s="203"/>
      <c r="J18" s="202"/>
    </row>
    <row r="19" spans="1:14" ht="8.85" customHeight="1">
      <c r="B19" s="301"/>
      <c r="C19" s="301"/>
      <c r="D19" s="301"/>
      <c r="E19" s="301"/>
      <c r="F19" s="301"/>
      <c r="G19" s="301"/>
      <c r="H19" s="301"/>
      <c r="I19" s="302"/>
    </row>
    <row r="20" spans="1:14" s="250" customFormat="1" ht="29.45" customHeight="1">
      <c r="A20" s="367"/>
      <c r="B20" s="414" t="s">
        <v>614</v>
      </c>
      <c r="C20" s="414"/>
      <c r="D20" s="414"/>
      <c r="E20" s="414"/>
      <c r="F20" s="414"/>
      <c r="G20" s="414"/>
      <c r="H20" s="414"/>
      <c r="I20" s="414"/>
      <c r="J20" s="414"/>
      <c r="K20" s="398"/>
      <c r="N20" s="303"/>
    </row>
    <row r="21" spans="1:14" s="250" customFormat="1" ht="51.6" customHeight="1">
      <c r="A21" s="367"/>
      <c r="B21" s="400" t="s">
        <v>446</v>
      </c>
      <c r="C21" s="400"/>
      <c r="D21" s="400"/>
      <c r="E21" s="400"/>
      <c r="F21" s="400"/>
      <c r="G21" s="400"/>
      <c r="H21" s="400"/>
      <c r="I21" s="400"/>
      <c r="J21" s="400"/>
      <c r="K21" s="398"/>
      <c r="N21" s="303"/>
    </row>
    <row r="22" spans="1:14" s="250" customFormat="1" ht="29.45" customHeight="1">
      <c r="A22" s="367"/>
      <c r="B22" s="400" t="s">
        <v>144</v>
      </c>
      <c r="C22" s="400"/>
      <c r="D22" s="400"/>
      <c r="E22" s="400"/>
      <c r="F22" s="400"/>
      <c r="G22" s="400"/>
      <c r="H22" s="400"/>
      <c r="I22" s="400"/>
      <c r="J22" s="400"/>
      <c r="K22" s="398"/>
      <c r="N22" s="303"/>
    </row>
    <row r="23" spans="1:14" s="250" customFormat="1" ht="48" customHeight="1">
      <c r="A23" s="367"/>
      <c r="B23" s="400" t="s">
        <v>145</v>
      </c>
      <c r="C23" s="400"/>
      <c r="D23" s="400"/>
      <c r="E23" s="400"/>
      <c r="F23" s="400"/>
      <c r="G23" s="400"/>
      <c r="H23" s="400"/>
      <c r="I23" s="400"/>
      <c r="J23" s="400"/>
      <c r="K23" s="398"/>
      <c r="N23" s="303"/>
    </row>
    <row r="24" spans="1:14" ht="38.1" customHeight="1">
      <c r="B24" s="401" t="s">
        <v>467</v>
      </c>
      <c r="C24" s="401"/>
      <c r="D24" s="401"/>
      <c r="E24" s="401"/>
      <c r="F24" s="401"/>
      <c r="G24" s="401"/>
      <c r="H24" s="401"/>
      <c r="I24" s="401"/>
      <c r="J24" s="401"/>
    </row>
    <row r="25" spans="1:14">
      <c r="B25" s="401"/>
      <c r="C25" s="401"/>
      <c r="D25" s="401"/>
      <c r="E25" s="401"/>
      <c r="F25" s="401"/>
      <c r="G25" s="401"/>
      <c r="H25" s="401"/>
      <c r="I25" s="401"/>
      <c r="J25" s="401"/>
    </row>
    <row r="26" spans="1:14">
      <c r="B26" s="401"/>
      <c r="C26" s="401"/>
      <c r="D26" s="401"/>
      <c r="E26" s="401"/>
      <c r="F26" s="401"/>
      <c r="G26" s="401"/>
      <c r="H26" s="401"/>
      <c r="I26" s="401"/>
      <c r="J26" s="401"/>
    </row>
    <row r="27" spans="1:14" ht="28.5" customHeight="1">
      <c r="B27" s="401"/>
      <c r="C27" s="401"/>
      <c r="D27" s="401"/>
      <c r="E27" s="401"/>
      <c r="F27" s="401"/>
      <c r="G27" s="401"/>
      <c r="H27" s="401"/>
      <c r="I27" s="401"/>
      <c r="J27" s="401"/>
    </row>
    <row r="28" spans="1:14" ht="9.6" customHeight="1">
      <c r="B28" s="2"/>
      <c r="C28" s="415"/>
      <c r="D28" s="415"/>
      <c r="E28" s="415"/>
      <c r="F28" s="415"/>
      <c r="G28" s="415"/>
      <c r="H28" s="415"/>
      <c r="I28" s="415"/>
    </row>
    <row r="29" spans="1:14">
      <c r="B29" s="154" t="s">
        <v>392</v>
      </c>
      <c r="C29" s="154"/>
      <c r="D29" s="154"/>
      <c r="E29" s="154"/>
      <c r="F29" s="154"/>
      <c r="G29" s="154"/>
      <c r="H29" s="154"/>
      <c r="I29" s="203"/>
      <c r="J29" s="202"/>
    </row>
    <row r="30" spans="1:14">
      <c r="B30" s="2"/>
      <c r="C30" s="296"/>
    </row>
    <row r="31" spans="1:14">
      <c r="B31" s="403" t="s">
        <v>1</v>
      </c>
      <c r="C31" s="403"/>
      <c r="D31" s="295" t="s">
        <v>2</v>
      </c>
      <c r="E31" s="295"/>
      <c r="F31" s="295"/>
      <c r="G31" s="295"/>
      <c r="H31" s="295"/>
      <c r="I31" s="205"/>
    </row>
    <row r="32" spans="1:14">
      <c r="B32" s="403" t="s">
        <v>393</v>
      </c>
      <c r="C32" s="403"/>
      <c r="D32" s="403"/>
      <c r="E32" s="295"/>
      <c r="F32" s="295"/>
      <c r="G32" s="295"/>
      <c r="H32" s="155"/>
      <c r="I32" s="206"/>
    </row>
    <row r="33" spans="2:10" ht="14.85" customHeight="1">
      <c r="B33" s="396" t="s">
        <v>394</v>
      </c>
      <c r="C33" s="396"/>
      <c r="D33" s="401" t="s">
        <v>458</v>
      </c>
      <c r="E33" s="401"/>
      <c r="F33" s="401"/>
      <c r="G33" s="401"/>
      <c r="H33" s="401"/>
      <c r="I33" s="401"/>
    </row>
    <row r="34" spans="2:10" ht="14.85" customHeight="1">
      <c r="B34" s="396" t="s">
        <v>395</v>
      </c>
      <c r="C34" s="396"/>
      <c r="D34" s="401" t="s">
        <v>459</v>
      </c>
      <c r="E34" s="401"/>
      <c r="F34" s="401"/>
      <c r="G34" s="401"/>
      <c r="H34" s="401"/>
      <c r="I34" s="401"/>
    </row>
    <row r="35" spans="2:10" ht="14.85" customHeight="1">
      <c r="B35" s="396" t="s">
        <v>461</v>
      </c>
      <c r="C35" s="396"/>
      <c r="D35" s="401" t="s">
        <v>701</v>
      </c>
      <c r="E35" s="401"/>
      <c r="F35" s="401"/>
      <c r="G35" s="401"/>
      <c r="H35" s="401"/>
      <c r="I35" s="401"/>
    </row>
    <row r="36" spans="2:10" ht="14.85" customHeight="1">
      <c r="B36" s="396" t="s">
        <v>462</v>
      </c>
      <c r="C36" s="396"/>
      <c r="D36" s="297" t="s">
        <v>460</v>
      </c>
      <c r="E36" s="297"/>
      <c r="F36" s="297"/>
      <c r="G36" s="297"/>
      <c r="H36" s="297"/>
      <c r="I36" s="207"/>
    </row>
    <row r="37" spans="2:10" ht="14.85" customHeight="1">
      <c r="B37" s="396" t="s">
        <v>462</v>
      </c>
      <c r="C37" s="404"/>
      <c r="D37" s="297" t="s">
        <v>463</v>
      </c>
      <c r="E37" s="297"/>
      <c r="F37" s="297"/>
      <c r="G37" s="297"/>
      <c r="H37" s="297"/>
      <c r="I37" s="207"/>
    </row>
    <row r="38" spans="2:10" ht="6.6" customHeight="1">
      <c r="B38" s="298"/>
      <c r="C38" s="298"/>
      <c r="D38" s="297"/>
      <c r="E38" s="297"/>
      <c r="F38" s="297"/>
      <c r="G38" s="297"/>
      <c r="H38" s="297"/>
      <c r="I38" s="207"/>
    </row>
    <row r="39" spans="2:10" ht="16.350000000000001" customHeight="1">
      <c r="B39" s="403" t="s">
        <v>371</v>
      </c>
      <c r="C39" s="403"/>
      <c r="D39" s="401" t="s">
        <v>466</v>
      </c>
      <c r="E39" s="401"/>
      <c r="F39" s="401"/>
      <c r="G39" s="401"/>
      <c r="H39" s="401"/>
      <c r="I39" s="207"/>
    </row>
    <row r="40" spans="2:10" ht="16.350000000000001" customHeight="1">
      <c r="B40" s="403" t="s">
        <v>465</v>
      </c>
      <c r="C40" s="403"/>
      <c r="D40" s="401" t="s">
        <v>464</v>
      </c>
      <c r="E40" s="401"/>
      <c r="F40" s="401"/>
      <c r="G40" s="401"/>
      <c r="H40" s="401"/>
      <c r="I40" s="207"/>
    </row>
    <row r="41" spans="2:10" ht="6.6" customHeight="1">
      <c r="B41" s="298"/>
      <c r="C41" s="298"/>
      <c r="D41" s="297"/>
      <c r="E41" s="297"/>
      <c r="F41" s="297"/>
      <c r="G41" s="297"/>
      <c r="H41" s="297"/>
      <c r="I41" s="207"/>
    </row>
    <row r="42" spans="2:10" ht="14.85" customHeight="1">
      <c r="B42" s="403" t="s">
        <v>396</v>
      </c>
      <c r="C42" s="403"/>
      <c r="D42" s="156"/>
      <c r="E42" s="156"/>
      <c r="F42" s="156"/>
      <c r="G42" s="156"/>
      <c r="H42" s="156"/>
      <c r="I42" s="208"/>
    </row>
    <row r="43" spans="2:10" ht="14.85" customHeight="1">
      <c r="B43" s="396" t="s">
        <v>3</v>
      </c>
      <c r="C43" s="396"/>
      <c r="D43" s="401" t="s">
        <v>458</v>
      </c>
      <c r="E43" s="401"/>
      <c r="F43" s="401"/>
      <c r="G43" s="401"/>
      <c r="H43" s="401"/>
      <c r="I43" s="401"/>
    </row>
    <row r="44" spans="2:10" ht="14.85" customHeight="1">
      <c r="B44" s="396" t="s">
        <v>4</v>
      </c>
      <c r="C44" s="396"/>
      <c r="D44" s="401" t="s">
        <v>459</v>
      </c>
      <c r="E44" s="401"/>
      <c r="F44" s="401"/>
      <c r="G44" s="401"/>
      <c r="H44" s="401"/>
      <c r="I44" s="401"/>
    </row>
    <row r="45" spans="2:10" ht="14.85" customHeight="1">
      <c r="B45" s="396" t="s">
        <v>397</v>
      </c>
      <c r="C45" s="396"/>
      <c r="D45" s="298" t="s">
        <v>486</v>
      </c>
      <c r="E45" s="298"/>
      <c r="F45" s="298"/>
      <c r="G45" s="298"/>
      <c r="H45" s="156"/>
      <c r="I45" s="208"/>
    </row>
    <row r="46" spans="2:10" ht="14.85" customHeight="1">
      <c r="B46" s="396" t="s">
        <v>398</v>
      </c>
      <c r="C46" s="396"/>
      <c r="D46" s="298" t="s">
        <v>399</v>
      </c>
      <c r="E46" s="298"/>
      <c r="F46" s="298"/>
      <c r="G46" s="298"/>
      <c r="H46" s="156"/>
      <c r="I46" s="208"/>
    </row>
    <row r="47" spans="2:10" ht="15.75">
      <c r="B47" s="157"/>
      <c r="C47" s="157"/>
      <c r="D47" s="156"/>
      <c r="E47" s="156"/>
      <c r="F47" s="156"/>
      <c r="G47" s="156"/>
      <c r="H47" s="156"/>
      <c r="I47" s="208"/>
    </row>
    <row r="48" spans="2:10">
      <c r="B48" s="154" t="s">
        <v>400</v>
      </c>
      <c r="C48" s="154"/>
      <c r="D48" s="154"/>
      <c r="E48" s="154"/>
      <c r="F48" s="154"/>
      <c r="G48" s="154"/>
      <c r="H48" s="154"/>
      <c r="I48" s="203"/>
      <c r="J48" s="202"/>
    </row>
    <row r="49" spans="1:14" ht="14.85" customHeight="1">
      <c r="B49" s="402" t="s">
        <v>538</v>
      </c>
      <c r="C49" s="402"/>
      <c r="D49" s="402"/>
      <c r="E49" s="402"/>
      <c r="F49" s="402"/>
      <c r="G49" s="402"/>
      <c r="H49" s="402"/>
      <c r="I49" s="402"/>
      <c r="J49" s="402"/>
    </row>
    <row r="50" spans="1:14">
      <c r="B50" s="402"/>
      <c r="C50" s="402"/>
      <c r="D50" s="402"/>
      <c r="E50" s="402"/>
      <c r="F50" s="402"/>
      <c r="G50" s="402"/>
      <c r="H50" s="402"/>
      <c r="I50" s="402"/>
      <c r="J50" s="402"/>
    </row>
    <row r="51" spans="1:14">
      <c r="B51" s="402"/>
      <c r="C51" s="402"/>
      <c r="D51" s="402"/>
      <c r="E51" s="402"/>
      <c r="F51" s="402"/>
      <c r="G51" s="402"/>
      <c r="H51" s="402"/>
      <c r="I51" s="402"/>
      <c r="J51" s="402"/>
    </row>
    <row r="52" spans="1:14" ht="16.350000000000001" customHeight="1">
      <c r="B52" s="402"/>
      <c r="C52" s="402"/>
      <c r="D52" s="402"/>
      <c r="E52" s="402"/>
      <c r="F52" s="402"/>
      <c r="G52" s="402"/>
      <c r="H52" s="402"/>
      <c r="I52" s="402"/>
      <c r="J52" s="402"/>
    </row>
    <row r="53" spans="1:14">
      <c r="B53" s="405" t="s">
        <v>362</v>
      </c>
      <c r="C53" s="406"/>
      <c r="D53" s="178">
        <v>6500000000</v>
      </c>
      <c r="E53" s="304"/>
      <c r="F53" s="304"/>
      <c r="G53" s="304"/>
    </row>
    <row r="54" spans="1:14">
      <c r="B54" s="405" t="s">
        <v>363</v>
      </c>
      <c r="C54" s="406"/>
      <c r="D54" s="178">
        <v>4227400000</v>
      </c>
      <c r="E54" s="304"/>
      <c r="F54" s="304"/>
      <c r="G54" s="304"/>
    </row>
    <row r="55" spans="1:14">
      <c r="B55" s="405" t="s">
        <v>367</v>
      </c>
      <c r="C55" s="406"/>
      <c r="D55" s="178">
        <f>+D54</f>
        <v>4227400000</v>
      </c>
      <c r="E55" s="304"/>
      <c r="F55" s="304"/>
      <c r="G55" s="304"/>
    </row>
    <row r="56" spans="1:14">
      <c r="B56" s="405" t="s">
        <v>5</v>
      </c>
      <c r="C56" s="407"/>
      <c r="D56" s="178">
        <f>+D53-D55</f>
        <v>2272600000</v>
      </c>
      <c r="E56" s="304"/>
      <c r="F56" s="304"/>
      <c r="G56" s="304"/>
    </row>
    <row r="58" spans="1:14">
      <c r="B58" s="179" t="s">
        <v>418</v>
      </c>
      <c r="C58" s="179"/>
      <c r="D58" s="179"/>
      <c r="E58" s="179"/>
      <c r="F58" s="179"/>
      <c r="G58" s="179"/>
      <c r="H58" s="155"/>
    </row>
    <row r="59" spans="1:14" ht="45">
      <c r="A59" s="368" t="s">
        <v>714</v>
      </c>
      <c r="B59" s="328" t="s">
        <v>715</v>
      </c>
      <c r="C59" s="328" t="s">
        <v>716</v>
      </c>
      <c r="D59" s="328" t="s">
        <v>717</v>
      </c>
      <c r="E59" s="328" t="s">
        <v>468</v>
      </c>
      <c r="F59" s="328" t="s">
        <v>469</v>
      </c>
      <c r="G59" s="328" t="s">
        <v>718</v>
      </c>
      <c r="H59" s="328" t="s">
        <v>719</v>
      </c>
      <c r="I59" s="328" t="s">
        <v>720</v>
      </c>
      <c r="J59" s="328" t="s">
        <v>201</v>
      </c>
      <c r="K59" s="328" t="s">
        <v>721</v>
      </c>
      <c r="L59" s="329" t="s">
        <v>364</v>
      </c>
      <c r="N59"/>
    </row>
    <row r="60" spans="1:14">
      <c r="A60" s="416">
        <v>1</v>
      </c>
      <c r="B60" s="417" t="s">
        <v>470</v>
      </c>
      <c r="C60" s="318" t="s">
        <v>471</v>
      </c>
      <c r="D60" s="319">
        <v>5</v>
      </c>
      <c r="E60" s="320">
        <v>151</v>
      </c>
      <c r="F60" s="319">
        <v>160</v>
      </c>
      <c r="G60" s="320" t="s">
        <v>365</v>
      </c>
      <c r="H60" s="321">
        <v>10</v>
      </c>
      <c r="I60" s="320">
        <v>10</v>
      </c>
      <c r="J60" s="322">
        <v>100000</v>
      </c>
      <c r="K60" s="323">
        <v>1000000</v>
      </c>
      <c r="L60" s="209">
        <f>K60/$K$188</f>
        <v>2.3655201778871173E-4</v>
      </c>
      <c r="N60"/>
    </row>
    <row r="61" spans="1:14">
      <c r="A61" s="416"/>
      <c r="B61" s="417"/>
      <c r="C61" s="324" t="s">
        <v>472</v>
      </c>
      <c r="D61" s="319">
        <v>35</v>
      </c>
      <c r="E61" s="325">
        <v>182</v>
      </c>
      <c r="F61" s="319">
        <v>200</v>
      </c>
      <c r="G61" s="325" t="s">
        <v>365</v>
      </c>
      <c r="H61" s="321">
        <v>19</v>
      </c>
      <c r="I61" s="325">
        <v>19</v>
      </c>
      <c r="J61" s="322">
        <v>100000</v>
      </c>
      <c r="K61" s="326">
        <v>1900000</v>
      </c>
      <c r="L61" s="327">
        <f t="shared" ref="L61:L124" si="0">K61/$K$188</f>
        <v>4.4944883379855231E-4</v>
      </c>
      <c r="N61"/>
    </row>
    <row r="62" spans="1:14">
      <c r="A62" s="416"/>
      <c r="B62" s="417"/>
      <c r="C62" s="324" t="s">
        <v>473</v>
      </c>
      <c r="D62" s="319">
        <v>102</v>
      </c>
      <c r="E62" s="325">
        <v>1</v>
      </c>
      <c r="F62" s="319">
        <v>12</v>
      </c>
      <c r="G62" s="325" t="s">
        <v>365</v>
      </c>
      <c r="H62" s="321">
        <v>12</v>
      </c>
      <c r="I62" s="325">
        <v>12</v>
      </c>
      <c r="J62" s="322">
        <v>100000</v>
      </c>
      <c r="K62" s="326">
        <v>1200000</v>
      </c>
      <c r="L62" s="327">
        <f t="shared" si="0"/>
        <v>2.8386242134645411E-4</v>
      </c>
      <c r="N62"/>
    </row>
    <row r="63" spans="1:14">
      <c r="A63" s="418">
        <v>2</v>
      </c>
      <c r="B63" s="421" t="s">
        <v>476</v>
      </c>
      <c r="C63" s="318" t="s">
        <v>477</v>
      </c>
      <c r="D63" s="330">
        <v>33</v>
      </c>
      <c r="E63" s="320">
        <v>103</v>
      </c>
      <c r="F63" s="330">
        <v>200</v>
      </c>
      <c r="G63" s="320" t="s">
        <v>365</v>
      </c>
      <c r="H63" s="331">
        <v>98</v>
      </c>
      <c r="I63" s="320">
        <v>98</v>
      </c>
      <c r="J63" s="332">
        <v>100000</v>
      </c>
      <c r="K63" s="323">
        <v>9800000</v>
      </c>
      <c r="L63" s="209">
        <f t="shared" si="0"/>
        <v>2.3182097743293748E-3</v>
      </c>
      <c r="N63"/>
    </row>
    <row r="64" spans="1:14">
      <c r="A64" s="419"/>
      <c r="B64" s="422"/>
      <c r="C64" s="324" t="s">
        <v>472</v>
      </c>
      <c r="D64" s="319">
        <v>34</v>
      </c>
      <c r="E64" s="325">
        <v>1</v>
      </c>
      <c r="F64" s="319">
        <v>181</v>
      </c>
      <c r="G64" s="325" t="s">
        <v>365</v>
      </c>
      <c r="H64" s="321">
        <v>181</v>
      </c>
      <c r="I64" s="325">
        <v>181</v>
      </c>
      <c r="J64" s="322">
        <v>100000</v>
      </c>
      <c r="K64" s="326">
        <v>18100000</v>
      </c>
      <c r="L64" s="327">
        <f t="shared" si="0"/>
        <v>4.2815915219756827E-3</v>
      </c>
      <c r="N64"/>
    </row>
    <row r="65" spans="1:14">
      <c r="A65" s="419"/>
      <c r="B65" s="422"/>
      <c r="C65" s="324" t="s">
        <v>722</v>
      </c>
      <c r="D65" s="319">
        <v>57</v>
      </c>
      <c r="E65" s="325">
        <v>1</v>
      </c>
      <c r="F65" s="319">
        <v>136</v>
      </c>
      <c r="G65" s="325" t="s">
        <v>365</v>
      </c>
      <c r="H65" s="321">
        <v>136</v>
      </c>
      <c r="I65" s="325">
        <v>136</v>
      </c>
      <c r="J65" s="322">
        <v>100000</v>
      </c>
      <c r="K65" s="326">
        <v>13600000</v>
      </c>
      <c r="L65" s="327">
        <f t="shared" si="0"/>
        <v>3.2171074419264797E-3</v>
      </c>
      <c r="N65"/>
    </row>
    <row r="66" spans="1:14">
      <c r="A66" s="419"/>
      <c r="B66" s="422"/>
      <c r="C66" s="324" t="s">
        <v>524</v>
      </c>
      <c r="D66" s="319">
        <v>71</v>
      </c>
      <c r="E66" s="325">
        <v>200</v>
      </c>
      <c r="F66" s="319">
        <v>200</v>
      </c>
      <c r="G66" s="325" t="s">
        <v>365</v>
      </c>
      <c r="H66" s="321">
        <v>1</v>
      </c>
      <c r="I66" s="325">
        <v>1</v>
      </c>
      <c r="J66" s="322">
        <v>100000</v>
      </c>
      <c r="K66" s="326">
        <v>100000</v>
      </c>
      <c r="L66" s="327">
        <f t="shared" si="0"/>
        <v>2.3655201778871172E-5</v>
      </c>
      <c r="N66"/>
    </row>
    <row r="67" spans="1:14">
      <c r="A67" s="419"/>
      <c r="B67" s="422"/>
      <c r="C67" s="324" t="s">
        <v>530</v>
      </c>
      <c r="D67" s="319">
        <v>88</v>
      </c>
      <c r="E67" s="325">
        <v>54</v>
      </c>
      <c r="F67" s="319">
        <v>143</v>
      </c>
      <c r="G67" s="325" t="s">
        <v>365</v>
      </c>
      <c r="H67" s="321">
        <v>90</v>
      </c>
      <c r="I67" s="325">
        <v>90</v>
      </c>
      <c r="J67" s="322">
        <v>100000</v>
      </c>
      <c r="K67" s="326">
        <v>9000000</v>
      </c>
      <c r="L67" s="327">
        <f t="shared" si="0"/>
        <v>2.1289681600984056E-3</v>
      </c>
      <c r="N67"/>
    </row>
    <row r="68" spans="1:14">
      <c r="A68" s="419"/>
      <c r="B68" s="422"/>
      <c r="C68" s="324" t="s">
        <v>531</v>
      </c>
      <c r="D68" s="319">
        <v>90</v>
      </c>
      <c r="E68" s="325">
        <v>1</v>
      </c>
      <c r="F68" s="319">
        <v>116</v>
      </c>
      <c r="G68" s="325" t="s">
        <v>365</v>
      </c>
      <c r="H68" s="321">
        <v>116</v>
      </c>
      <c r="I68" s="325">
        <v>116</v>
      </c>
      <c r="J68" s="322">
        <v>100000</v>
      </c>
      <c r="K68" s="326">
        <v>11600000</v>
      </c>
      <c r="L68" s="327">
        <f t="shared" si="0"/>
        <v>2.744003406349056E-3</v>
      </c>
      <c r="N68"/>
    </row>
    <row r="69" spans="1:14">
      <c r="A69" s="420"/>
      <c r="B69" s="423"/>
      <c r="C69" s="333" t="s">
        <v>473</v>
      </c>
      <c r="D69" s="334">
        <v>104</v>
      </c>
      <c r="E69" s="335">
        <v>2421</v>
      </c>
      <c r="F69" s="334">
        <v>2620</v>
      </c>
      <c r="G69" s="335" t="s">
        <v>365</v>
      </c>
      <c r="H69" s="336">
        <v>200</v>
      </c>
      <c r="I69" s="335">
        <v>200</v>
      </c>
      <c r="J69" s="337">
        <v>100000</v>
      </c>
      <c r="K69" s="338">
        <v>20000000</v>
      </c>
      <c r="L69" s="339">
        <f t="shared" si="0"/>
        <v>4.7310403557742345E-3</v>
      </c>
      <c r="N69"/>
    </row>
    <row r="70" spans="1:14">
      <c r="A70" s="424">
        <v>3</v>
      </c>
      <c r="B70" s="426" t="s">
        <v>482</v>
      </c>
      <c r="C70" s="318" t="s">
        <v>483</v>
      </c>
      <c r="D70" s="330">
        <v>20</v>
      </c>
      <c r="E70" s="320">
        <v>191</v>
      </c>
      <c r="F70" s="330">
        <v>200</v>
      </c>
      <c r="G70" s="320" t="s">
        <v>365</v>
      </c>
      <c r="H70" s="331">
        <v>10</v>
      </c>
      <c r="I70" s="320">
        <v>10</v>
      </c>
      <c r="J70" s="332">
        <v>100000</v>
      </c>
      <c r="K70" s="323">
        <v>1000000</v>
      </c>
      <c r="L70" s="209">
        <f t="shared" si="0"/>
        <v>2.3655201778871173E-4</v>
      </c>
      <c r="N70"/>
    </row>
    <row r="71" spans="1:14">
      <c r="A71" s="425"/>
      <c r="B71" s="427"/>
      <c r="C71" s="324" t="s">
        <v>722</v>
      </c>
      <c r="D71" s="319">
        <v>58</v>
      </c>
      <c r="E71" s="325">
        <v>137</v>
      </c>
      <c r="F71" s="319">
        <v>145</v>
      </c>
      <c r="G71" s="325" t="s">
        <v>365</v>
      </c>
      <c r="H71" s="321">
        <v>9</v>
      </c>
      <c r="I71" s="325">
        <v>9</v>
      </c>
      <c r="J71" s="322">
        <v>100000</v>
      </c>
      <c r="K71" s="326">
        <v>900000</v>
      </c>
      <c r="L71" s="327">
        <f t="shared" si="0"/>
        <v>2.1289681600984055E-4</v>
      </c>
      <c r="N71"/>
    </row>
    <row r="72" spans="1:14">
      <c r="A72" s="425"/>
      <c r="B72" s="427"/>
      <c r="C72" s="324" t="s">
        <v>531</v>
      </c>
      <c r="D72" s="319">
        <v>91</v>
      </c>
      <c r="E72" s="325">
        <v>117</v>
      </c>
      <c r="F72" s="319">
        <v>126</v>
      </c>
      <c r="G72" s="325" t="s">
        <v>365</v>
      </c>
      <c r="H72" s="321">
        <v>10</v>
      </c>
      <c r="I72" s="325">
        <v>10</v>
      </c>
      <c r="J72" s="322">
        <v>100000</v>
      </c>
      <c r="K72" s="326">
        <v>1000000</v>
      </c>
      <c r="L72" s="327">
        <f t="shared" si="0"/>
        <v>2.3655201778871173E-4</v>
      </c>
      <c r="N72"/>
    </row>
    <row r="73" spans="1:14">
      <c r="A73" s="425"/>
      <c r="B73" s="428"/>
      <c r="C73" s="333" t="s">
        <v>473</v>
      </c>
      <c r="D73" s="334">
        <v>106</v>
      </c>
      <c r="E73" s="335">
        <v>2622</v>
      </c>
      <c r="F73" s="334">
        <v>2633</v>
      </c>
      <c r="G73" s="335" t="s">
        <v>365</v>
      </c>
      <c r="H73" s="336">
        <v>12</v>
      </c>
      <c r="I73" s="335">
        <v>12</v>
      </c>
      <c r="J73" s="337">
        <v>100000</v>
      </c>
      <c r="K73" s="338">
        <v>1200000</v>
      </c>
      <c r="L73" s="339">
        <f t="shared" si="0"/>
        <v>2.8386242134645411E-4</v>
      </c>
      <c r="N73"/>
    </row>
    <row r="74" spans="1:14">
      <c r="A74" s="424">
        <v>4</v>
      </c>
      <c r="B74" s="426" t="s">
        <v>487</v>
      </c>
      <c r="C74" s="318" t="s">
        <v>488</v>
      </c>
      <c r="D74" s="330">
        <v>15</v>
      </c>
      <c r="E74" s="320">
        <v>181</v>
      </c>
      <c r="F74" s="330">
        <v>190</v>
      </c>
      <c r="G74" s="320" t="s">
        <v>365</v>
      </c>
      <c r="H74" s="331">
        <v>10</v>
      </c>
      <c r="I74" s="320">
        <v>10</v>
      </c>
      <c r="J74" s="332">
        <v>100000</v>
      </c>
      <c r="K74" s="323">
        <v>1000000</v>
      </c>
      <c r="L74" s="209">
        <f t="shared" si="0"/>
        <v>2.3655201778871173E-4</v>
      </c>
      <c r="N74"/>
    </row>
    <row r="75" spans="1:14">
      <c r="A75" s="425"/>
      <c r="B75" s="427"/>
      <c r="C75" s="324" t="s">
        <v>483</v>
      </c>
      <c r="D75" s="319">
        <v>18</v>
      </c>
      <c r="E75" s="325">
        <v>1</v>
      </c>
      <c r="F75" s="319">
        <v>100</v>
      </c>
      <c r="G75" s="325" t="s">
        <v>365</v>
      </c>
      <c r="H75" s="321">
        <v>100</v>
      </c>
      <c r="I75" s="325">
        <v>100</v>
      </c>
      <c r="J75" s="322">
        <v>100000</v>
      </c>
      <c r="K75" s="326">
        <v>10000000</v>
      </c>
      <c r="L75" s="327">
        <f t="shared" si="0"/>
        <v>2.3655201778871172E-3</v>
      </c>
      <c r="N75"/>
    </row>
    <row r="76" spans="1:14">
      <c r="A76" s="425"/>
      <c r="B76" s="427"/>
      <c r="C76" s="324" t="s">
        <v>722</v>
      </c>
      <c r="D76" s="319">
        <v>59</v>
      </c>
      <c r="E76" s="325">
        <v>146</v>
      </c>
      <c r="F76" s="319">
        <v>200</v>
      </c>
      <c r="G76" s="325" t="s">
        <v>365</v>
      </c>
      <c r="H76" s="321">
        <v>55</v>
      </c>
      <c r="I76" s="325">
        <v>55</v>
      </c>
      <c r="J76" s="322">
        <v>100000</v>
      </c>
      <c r="K76" s="326">
        <v>5500000</v>
      </c>
      <c r="L76" s="327">
        <f t="shared" si="0"/>
        <v>1.3010360978379146E-3</v>
      </c>
      <c r="N76"/>
    </row>
    <row r="77" spans="1:14">
      <c r="A77" s="425"/>
      <c r="B77" s="427"/>
      <c r="C77" s="324" t="s">
        <v>523</v>
      </c>
      <c r="D77" s="319">
        <v>60</v>
      </c>
      <c r="E77" s="325">
        <v>1</v>
      </c>
      <c r="F77" s="319">
        <v>62</v>
      </c>
      <c r="G77" s="325" t="s">
        <v>365</v>
      </c>
      <c r="H77" s="321">
        <v>62</v>
      </c>
      <c r="I77" s="325">
        <v>62</v>
      </c>
      <c r="J77" s="322">
        <v>100000</v>
      </c>
      <c r="K77" s="326">
        <v>6200000</v>
      </c>
      <c r="L77" s="327">
        <f t="shared" si="0"/>
        <v>1.4666225102900128E-3</v>
      </c>
      <c r="N77"/>
    </row>
    <row r="78" spans="1:14">
      <c r="A78" s="425"/>
      <c r="B78" s="427"/>
      <c r="C78" s="324" t="s">
        <v>490</v>
      </c>
      <c r="D78" s="319">
        <v>74</v>
      </c>
      <c r="E78" s="325">
        <v>164</v>
      </c>
      <c r="F78" s="319">
        <v>200</v>
      </c>
      <c r="G78" s="325" t="s">
        <v>365</v>
      </c>
      <c r="H78" s="321">
        <v>37</v>
      </c>
      <c r="I78" s="325">
        <v>37</v>
      </c>
      <c r="J78" s="322">
        <v>100000</v>
      </c>
      <c r="K78" s="326">
        <v>3700000</v>
      </c>
      <c r="L78" s="327">
        <f t="shared" si="0"/>
        <v>8.7524246581823341E-4</v>
      </c>
      <c r="N78"/>
    </row>
    <row r="79" spans="1:14">
      <c r="A79" s="425"/>
      <c r="B79" s="427"/>
      <c r="C79" s="324" t="s">
        <v>521</v>
      </c>
      <c r="D79" s="319">
        <v>75</v>
      </c>
      <c r="E79" s="325">
        <v>1</v>
      </c>
      <c r="F79" s="319">
        <v>9</v>
      </c>
      <c r="G79" s="325" t="s">
        <v>365</v>
      </c>
      <c r="H79" s="321">
        <v>9</v>
      </c>
      <c r="I79" s="325">
        <v>9</v>
      </c>
      <c r="J79" s="322">
        <v>100000</v>
      </c>
      <c r="K79" s="326">
        <v>900000</v>
      </c>
      <c r="L79" s="327">
        <f t="shared" si="0"/>
        <v>2.1289681600984055E-4</v>
      </c>
      <c r="N79"/>
    </row>
    <row r="80" spans="1:14">
      <c r="A80" s="425"/>
      <c r="B80" s="427"/>
      <c r="C80" s="324" t="s">
        <v>531</v>
      </c>
      <c r="D80" s="319">
        <v>92</v>
      </c>
      <c r="E80" s="325">
        <v>127</v>
      </c>
      <c r="F80" s="319">
        <v>145</v>
      </c>
      <c r="G80" s="325" t="s">
        <v>365</v>
      </c>
      <c r="H80" s="321">
        <v>19</v>
      </c>
      <c r="I80" s="325">
        <v>19</v>
      </c>
      <c r="J80" s="322">
        <v>100000</v>
      </c>
      <c r="K80" s="326">
        <v>1900000</v>
      </c>
      <c r="L80" s="327">
        <f t="shared" si="0"/>
        <v>4.4944883379855231E-4</v>
      </c>
      <c r="N80"/>
    </row>
    <row r="81" spans="1:14">
      <c r="A81" s="425"/>
      <c r="B81" s="427"/>
      <c r="C81" s="324" t="s">
        <v>491</v>
      </c>
      <c r="D81" s="319">
        <v>95</v>
      </c>
      <c r="E81" s="325">
        <v>1</v>
      </c>
      <c r="F81" s="319">
        <v>33</v>
      </c>
      <c r="G81" s="325" t="s">
        <v>365</v>
      </c>
      <c r="H81" s="321">
        <v>33</v>
      </c>
      <c r="I81" s="325">
        <v>33</v>
      </c>
      <c r="J81" s="322">
        <v>100000</v>
      </c>
      <c r="K81" s="326">
        <v>3300000</v>
      </c>
      <c r="L81" s="327">
        <f t="shared" si="0"/>
        <v>7.8062165870274871E-4</v>
      </c>
      <c r="N81"/>
    </row>
    <row r="82" spans="1:14">
      <c r="A82" s="425"/>
      <c r="B82" s="428"/>
      <c r="C82" s="333" t="s">
        <v>473</v>
      </c>
      <c r="D82" s="334">
        <v>107</v>
      </c>
      <c r="E82" s="335">
        <v>2634</v>
      </c>
      <c r="F82" s="334">
        <v>2761</v>
      </c>
      <c r="G82" s="335" t="s">
        <v>365</v>
      </c>
      <c r="H82" s="336">
        <v>128</v>
      </c>
      <c r="I82" s="335">
        <v>128</v>
      </c>
      <c r="J82" s="337">
        <v>100000</v>
      </c>
      <c r="K82" s="338">
        <v>12800000</v>
      </c>
      <c r="L82" s="339">
        <f t="shared" si="0"/>
        <v>3.02786582769551E-3</v>
      </c>
      <c r="N82"/>
    </row>
    <row r="83" spans="1:14">
      <c r="A83" s="418">
        <v>5</v>
      </c>
      <c r="B83" s="427" t="s">
        <v>520</v>
      </c>
      <c r="C83" s="324" t="s">
        <v>471</v>
      </c>
      <c r="D83" s="319">
        <v>7</v>
      </c>
      <c r="E83" s="325">
        <v>166</v>
      </c>
      <c r="F83" s="319">
        <v>180</v>
      </c>
      <c r="G83" s="325" t="s">
        <v>365</v>
      </c>
      <c r="H83" s="321">
        <v>15</v>
      </c>
      <c r="I83" s="325">
        <v>15</v>
      </c>
      <c r="J83" s="322">
        <v>100000</v>
      </c>
      <c r="K83" s="326">
        <v>1500000</v>
      </c>
      <c r="L83" s="209">
        <f t="shared" si="0"/>
        <v>3.5482802668306761E-4</v>
      </c>
      <c r="N83"/>
    </row>
    <row r="84" spans="1:14">
      <c r="A84" s="419"/>
      <c r="B84" s="427"/>
      <c r="C84" s="324" t="s">
        <v>488</v>
      </c>
      <c r="D84" s="319">
        <v>17</v>
      </c>
      <c r="E84" s="325">
        <v>200</v>
      </c>
      <c r="F84" s="319">
        <v>200</v>
      </c>
      <c r="G84" s="325" t="s">
        <v>365</v>
      </c>
      <c r="H84" s="321">
        <v>1</v>
      </c>
      <c r="I84" s="325">
        <v>1</v>
      </c>
      <c r="J84" s="322">
        <v>100000</v>
      </c>
      <c r="K84" s="326">
        <v>100000</v>
      </c>
      <c r="L84" s="327">
        <f t="shared" si="0"/>
        <v>2.3655201778871172E-5</v>
      </c>
      <c r="N84"/>
    </row>
    <row r="85" spans="1:14">
      <c r="A85" s="419"/>
      <c r="B85" s="427"/>
      <c r="C85" s="324" t="s">
        <v>521</v>
      </c>
      <c r="D85" s="319">
        <v>78</v>
      </c>
      <c r="E85" s="325">
        <v>184</v>
      </c>
      <c r="F85" s="319">
        <v>200</v>
      </c>
      <c r="G85" s="325" t="s">
        <v>365</v>
      </c>
      <c r="H85" s="321">
        <v>17</v>
      </c>
      <c r="I85" s="325">
        <v>17</v>
      </c>
      <c r="J85" s="322">
        <v>100000</v>
      </c>
      <c r="K85" s="326">
        <v>1700000</v>
      </c>
      <c r="L85" s="327">
        <f t="shared" si="0"/>
        <v>4.0213843024080996E-4</v>
      </c>
      <c r="N85"/>
    </row>
    <row r="86" spans="1:14">
      <c r="A86" s="419"/>
      <c r="B86" s="427"/>
      <c r="C86" s="324" t="s">
        <v>503</v>
      </c>
      <c r="D86" s="319">
        <v>80</v>
      </c>
      <c r="E86" s="325">
        <v>193</v>
      </c>
      <c r="F86" s="319">
        <v>200</v>
      </c>
      <c r="G86" s="325" t="s">
        <v>365</v>
      </c>
      <c r="H86" s="321">
        <v>8</v>
      </c>
      <c r="I86" s="325">
        <v>8</v>
      </c>
      <c r="J86" s="322">
        <v>100000</v>
      </c>
      <c r="K86" s="326">
        <v>800000</v>
      </c>
      <c r="L86" s="327">
        <f t="shared" si="0"/>
        <v>1.8924161423096938E-4</v>
      </c>
      <c r="N86"/>
    </row>
    <row r="87" spans="1:14">
      <c r="A87" s="419"/>
      <c r="B87" s="427"/>
      <c r="C87" s="324" t="s">
        <v>518</v>
      </c>
      <c r="D87" s="319">
        <v>81</v>
      </c>
      <c r="E87" s="325">
        <v>1</v>
      </c>
      <c r="F87" s="319">
        <v>6</v>
      </c>
      <c r="G87" s="325" t="s">
        <v>365</v>
      </c>
      <c r="H87" s="321">
        <v>6</v>
      </c>
      <c r="I87" s="325">
        <v>6</v>
      </c>
      <c r="J87" s="322">
        <v>100000</v>
      </c>
      <c r="K87" s="326">
        <v>600000</v>
      </c>
      <c r="L87" s="327">
        <f t="shared" si="0"/>
        <v>1.4193121067322705E-4</v>
      </c>
      <c r="N87"/>
    </row>
    <row r="88" spans="1:14">
      <c r="A88" s="419"/>
      <c r="B88" s="427"/>
      <c r="C88" s="324" t="s">
        <v>473</v>
      </c>
      <c r="D88" s="319">
        <v>105</v>
      </c>
      <c r="E88" s="325">
        <v>2621</v>
      </c>
      <c r="F88" s="319">
        <v>2621</v>
      </c>
      <c r="G88" s="325" t="s">
        <v>365</v>
      </c>
      <c r="H88" s="321">
        <v>1</v>
      </c>
      <c r="I88" s="325">
        <v>1</v>
      </c>
      <c r="J88" s="322">
        <v>100000</v>
      </c>
      <c r="K88" s="326">
        <v>100000</v>
      </c>
      <c r="L88" s="327">
        <f t="shared" si="0"/>
        <v>2.3655201778871172E-5</v>
      </c>
      <c r="N88"/>
    </row>
    <row r="89" spans="1:14">
      <c r="A89" s="419"/>
      <c r="B89" s="427"/>
      <c r="C89" s="324" t="s">
        <v>473</v>
      </c>
      <c r="D89" s="319">
        <v>108</v>
      </c>
      <c r="E89" s="325">
        <v>2762</v>
      </c>
      <c r="F89" s="319">
        <v>2762</v>
      </c>
      <c r="G89" s="325" t="s">
        <v>365</v>
      </c>
      <c r="H89" s="321">
        <v>1</v>
      </c>
      <c r="I89" s="325">
        <v>1</v>
      </c>
      <c r="J89" s="322">
        <v>100000</v>
      </c>
      <c r="K89" s="326">
        <v>100000</v>
      </c>
      <c r="L89" s="327">
        <f t="shared" si="0"/>
        <v>2.3655201778871172E-5</v>
      </c>
      <c r="N89"/>
    </row>
    <row r="90" spans="1:14">
      <c r="A90" s="420"/>
      <c r="B90" s="427"/>
      <c r="C90" s="324" t="s">
        <v>510</v>
      </c>
      <c r="D90" s="319">
        <v>111</v>
      </c>
      <c r="E90" s="325">
        <v>171</v>
      </c>
      <c r="F90" s="319">
        <v>188</v>
      </c>
      <c r="G90" s="325" t="s">
        <v>365</v>
      </c>
      <c r="H90" s="321">
        <v>18</v>
      </c>
      <c r="I90" s="325">
        <v>18</v>
      </c>
      <c r="J90" s="322">
        <v>100000</v>
      </c>
      <c r="K90" s="326">
        <v>1800000</v>
      </c>
      <c r="L90" s="339">
        <f t="shared" si="0"/>
        <v>4.257936320196811E-4</v>
      </c>
      <c r="N90"/>
    </row>
    <row r="91" spans="1:14">
      <c r="A91" s="418">
        <v>6</v>
      </c>
      <c r="B91" s="426" t="s">
        <v>522</v>
      </c>
      <c r="C91" s="318" t="s">
        <v>471</v>
      </c>
      <c r="D91" s="330">
        <v>9</v>
      </c>
      <c r="E91" s="320">
        <v>196</v>
      </c>
      <c r="F91" s="330">
        <v>197</v>
      </c>
      <c r="G91" s="320" t="s">
        <v>365</v>
      </c>
      <c r="H91" s="331">
        <v>2</v>
      </c>
      <c r="I91" s="340">
        <v>2</v>
      </c>
      <c r="J91" s="332">
        <v>100000</v>
      </c>
      <c r="K91" s="323">
        <v>200000</v>
      </c>
      <c r="L91" s="209">
        <f t="shared" si="0"/>
        <v>4.7310403557742344E-5</v>
      </c>
      <c r="N91"/>
    </row>
    <row r="92" spans="1:14">
      <c r="A92" s="419"/>
      <c r="B92" s="427"/>
      <c r="C92" s="324" t="s">
        <v>495</v>
      </c>
      <c r="D92" s="319">
        <v>25</v>
      </c>
      <c r="E92" s="325">
        <v>51</v>
      </c>
      <c r="F92" s="319">
        <v>191</v>
      </c>
      <c r="G92" s="325" t="s">
        <v>365</v>
      </c>
      <c r="H92" s="321">
        <v>141</v>
      </c>
      <c r="I92" s="341">
        <v>141</v>
      </c>
      <c r="J92" s="322">
        <v>100000</v>
      </c>
      <c r="K92" s="326">
        <v>14100000</v>
      </c>
      <c r="L92" s="327">
        <f t="shared" si="0"/>
        <v>3.3353834508208354E-3</v>
      </c>
      <c r="N92"/>
    </row>
    <row r="93" spans="1:14">
      <c r="A93" s="419"/>
      <c r="B93" s="427"/>
      <c r="C93" s="324" t="s">
        <v>523</v>
      </c>
      <c r="D93" s="319">
        <v>63</v>
      </c>
      <c r="E93" s="325">
        <v>176</v>
      </c>
      <c r="F93" s="319">
        <v>200</v>
      </c>
      <c r="G93" s="325" t="s">
        <v>365</v>
      </c>
      <c r="H93" s="321">
        <v>25</v>
      </c>
      <c r="I93" s="341">
        <v>25</v>
      </c>
      <c r="J93" s="322">
        <v>100000</v>
      </c>
      <c r="K93" s="326">
        <v>2500000</v>
      </c>
      <c r="L93" s="327">
        <f t="shared" si="0"/>
        <v>5.9138004447177931E-4</v>
      </c>
      <c r="N93"/>
    </row>
    <row r="94" spans="1:14">
      <c r="A94" s="419"/>
      <c r="B94" s="427"/>
      <c r="C94" s="324" t="s">
        <v>723</v>
      </c>
      <c r="D94" s="319">
        <v>68</v>
      </c>
      <c r="E94" s="325">
        <v>54</v>
      </c>
      <c r="F94" s="319">
        <v>170</v>
      </c>
      <c r="G94" s="325" t="s">
        <v>365</v>
      </c>
      <c r="H94" s="321">
        <v>117</v>
      </c>
      <c r="I94" s="341">
        <v>117</v>
      </c>
      <c r="J94" s="322">
        <v>100000</v>
      </c>
      <c r="K94" s="326">
        <v>11700000</v>
      </c>
      <c r="L94" s="327">
        <f t="shared" si="0"/>
        <v>2.7676586081279275E-3</v>
      </c>
      <c r="N94"/>
    </row>
    <row r="95" spans="1:14">
      <c r="A95" s="419"/>
      <c r="B95" s="427"/>
      <c r="C95" s="324" t="s">
        <v>491</v>
      </c>
      <c r="D95" s="319">
        <v>96</v>
      </c>
      <c r="E95" s="325">
        <v>34</v>
      </c>
      <c r="F95" s="319">
        <v>173</v>
      </c>
      <c r="G95" s="325" t="s">
        <v>365</v>
      </c>
      <c r="H95" s="321">
        <v>140</v>
      </c>
      <c r="I95" s="341">
        <v>140</v>
      </c>
      <c r="J95" s="322">
        <v>100000</v>
      </c>
      <c r="K95" s="326">
        <v>14000000</v>
      </c>
      <c r="L95" s="327">
        <f t="shared" si="0"/>
        <v>3.3117282490419645E-3</v>
      </c>
      <c r="N95"/>
    </row>
    <row r="96" spans="1:14">
      <c r="A96" s="420"/>
      <c r="B96" s="428"/>
      <c r="C96" s="333" t="s">
        <v>510</v>
      </c>
      <c r="D96" s="334">
        <v>112</v>
      </c>
      <c r="E96" s="335">
        <v>189</v>
      </c>
      <c r="F96" s="334">
        <v>473</v>
      </c>
      <c r="G96" s="335" t="s">
        <v>365</v>
      </c>
      <c r="H96" s="336">
        <v>285</v>
      </c>
      <c r="I96" s="342">
        <v>285</v>
      </c>
      <c r="J96" s="337">
        <v>100000</v>
      </c>
      <c r="K96" s="338">
        <v>28500000</v>
      </c>
      <c r="L96" s="339">
        <f t="shared" si="0"/>
        <v>6.7417325069782843E-3</v>
      </c>
      <c r="N96"/>
    </row>
    <row r="97" spans="1:14">
      <c r="A97" s="418">
        <v>7</v>
      </c>
      <c r="B97" s="427" t="s">
        <v>525</v>
      </c>
      <c r="C97" s="324" t="s">
        <v>494</v>
      </c>
      <c r="D97" s="319">
        <v>23</v>
      </c>
      <c r="E97" s="325">
        <v>171</v>
      </c>
      <c r="F97" s="319">
        <v>200</v>
      </c>
      <c r="G97" s="325" t="s">
        <v>365</v>
      </c>
      <c r="H97" s="321">
        <v>30</v>
      </c>
      <c r="I97" s="325">
        <v>30</v>
      </c>
      <c r="J97" s="322">
        <v>100000</v>
      </c>
      <c r="K97" s="326">
        <v>3000000</v>
      </c>
      <c r="L97" s="209">
        <f t="shared" si="0"/>
        <v>7.0965605336613521E-4</v>
      </c>
      <c r="N97"/>
    </row>
    <row r="98" spans="1:14">
      <c r="A98" s="419"/>
      <c r="B98" s="427"/>
      <c r="C98" s="324" t="s">
        <v>523</v>
      </c>
      <c r="D98" s="319">
        <v>62</v>
      </c>
      <c r="E98" s="325">
        <v>147</v>
      </c>
      <c r="F98" s="319">
        <v>175</v>
      </c>
      <c r="G98" s="325" t="s">
        <v>365</v>
      </c>
      <c r="H98" s="321">
        <v>29</v>
      </c>
      <c r="I98" s="325">
        <v>29</v>
      </c>
      <c r="J98" s="322">
        <v>100000</v>
      </c>
      <c r="K98" s="326">
        <v>2900000</v>
      </c>
      <c r="L98" s="327">
        <f t="shared" si="0"/>
        <v>6.8600085158726401E-4</v>
      </c>
      <c r="N98"/>
    </row>
    <row r="99" spans="1:14">
      <c r="A99" s="419"/>
      <c r="B99" s="427"/>
      <c r="C99" s="324" t="s">
        <v>531</v>
      </c>
      <c r="D99" s="319">
        <v>93</v>
      </c>
      <c r="E99" s="325">
        <v>146</v>
      </c>
      <c r="F99" s="319">
        <v>174</v>
      </c>
      <c r="G99" s="325" t="s">
        <v>365</v>
      </c>
      <c r="H99" s="321">
        <v>29</v>
      </c>
      <c r="I99" s="325">
        <v>29</v>
      </c>
      <c r="J99" s="322">
        <v>100000</v>
      </c>
      <c r="K99" s="326">
        <v>2900000</v>
      </c>
      <c r="L99" s="327">
        <f t="shared" si="0"/>
        <v>6.8600085158726401E-4</v>
      </c>
      <c r="N99"/>
    </row>
    <row r="100" spans="1:14">
      <c r="A100" s="420"/>
      <c r="B100" s="428"/>
      <c r="C100" s="333" t="s">
        <v>510</v>
      </c>
      <c r="D100" s="334">
        <v>113</v>
      </c>
      <c r="E100" s="335">
        <v>474</v>
      </c>
      <c r="F100" s="334">
        <v>508</v>
      </c>
      <c r="G100" s="335" t="s">
        <v>365</v>
      </c>
      <c r="H100" s="336">
        <v>35</v>
      </c>
      <c r="I100" s="335">
        <v>35</v>
      </c>
      <c r="J100" s="337">
        <v>100000</v>
      </c>
      <c r="K100" s="326">
        <v>3500000</v>
      </c>
      <c r="L100" s="339">
        <f t="shared" si="0"/>
        <v>8.2793206226049112E-4</v>
      </c>
      <c r="N100"/>
    </row>
    <row r="101" spans="1:14">
      <c r="A101" s="418">
        <v>8</v>
      </c>
      <c r="B101" s="426" t="s">
        <v>526</v>
      </c>
      <c r="C101" s="318" t="s">
        <v>488</v>
      </c>
      <c r="D101" s="330">
        <v>13</v>
      </c>
      <c r="E101" s="320">
        <v>101</v>
      </c>
      <c r="F101" s="330">
        <v>150</v>
      </c>
      <c r="G101" s="320" t="s">
        <v>365</v>
      </c>
      <c r="H101" s="331">
        <v>50</v>
      </c>
      <c r="I101" s="320">
        <v>50</v>
      </c>
      <c r="J101" s="332">
        <v>100000</v>
      </c>
      <c r="K101" s="323">
        <v>5000000</v>
      </c>
      <c r="L101" s="209">
        <f t="shared" si="0"/>
        <v>1.1827600889435586E-3</v>
      </c>
      <c r="N101"/>
    </row>
    <row r="102" spans="1:14">
      <c r="A102" s="419"/>
      <c r="B102" s="427"/>
      <c r="C102" s="324" t="s">
        <v>494</v>
      </c>
      <c r="D102" s="319">
        <v>21</v>
      </c>
      <c r="E102" s="325">
        <v>1</v>
      </c>
      <c r="F102" s="319">
        <v>100</v>
      </c>
      <c r="G102" s="325" t="s">
        <v>365</v>
      </c>
      <c r="H102" s="321">
        <v>100</v>
      </c>
      <c r="I102" s="325">
        <v>100</v>
      </c>
      <c r="J102" s="322">
        <v>100000</v>
      </c>
      <c r="K102" s="326">
        <v>10000000</v>
      </c>
      <c r="L102" s="327">
        <f t="shared" si="0"/>
        <v>2.3655201778871172E-3</v>
      </c>
      <c r="N102"/>
    </row>
    <row r="103" spans="1:14">
      <c r="A103" s="419"/>
      <c r="B103" s="427"/>
      <c r="C103" s="324" t="s">
        <v>523</v>
      </c>
      <c r="D103" s="319">
        <v>61</v>
      </c>
      <c r="E103" s="325">
        <v>63</v>
      </c>
      <c r="F103" s="319">
        <v>146</v>
      </c>
      <c r="G103" s="325" t="s">
        <v>365</v>
      </c>
      <c r="H103" s="321">
        <v>84</v>
      </c>
      <c r="I103" s="325">
        <v>84</v>
      </c>
      <c r="J103" s="322">
        <v>100000</v>
      </c>
      <c r="K103" s="326">
        <v>8400000</v>
      </c>
      <c r="L103" s="327">
        <f t="shared" si="0"/>
        <v>1.9870369494251784E-3</v>
      </c>
      <c r="N103"/>
    </row>
    <row r="104" spans="1:14">
      <c r="A104" s="419"/>
      <c r="B104" s="427"/>
      <c r="C104" s="324" t="s">
        <v>527</v>
      </c>
      <c r="D104" s="319">
        <v>64</v>
      </c>
      <c r="E104" s="325">
        <v>1</v>
      </c>
      <c r="F104" s="319">
        <v>63</v>
      </c>
      <c r="G104" s="325" t="s">
        <v>365</v>
      </c>
      <c r="H104" s="321">
        <v>63</v>
      </c>
      <c r="I104" s="325">
        <v>63</v>
      </c>
      <c r="J104" s="322">
        <v>100000</v>
      </c>
      <c r="K104" s="326">
        <v>6300000</v>
      </c>
      <c r="L104" s="327">
        <f t="shared" si="0"/>
        <v>1.490277712068884E-3</v>
      </c>
      <c r="N104"/>
    </row>
    <row r="105" spans="1:14">
      <c r="A105" s="419"/>
      <c r="B105" s="427"/>
      <c r="C105" s="324" t="s">
        <v>524</v>
      </c>
      <c r="D105" s="319">
        <v>67</v>
      </c>
      <c r="E105" s="325">
        <v>51</v>
      </c>
      <c r="F105" s="319">
        <v>53</v>
      </c>
      <c r="G105" s="325" t="s">
        <v>365</v>
      </c>
      <c r="H105" s="321">
        <v>3</v>
      </c>
      <c r="I105" s="325">
        <v>3</v>
      </c>
      <c r="J105" s="322">
        <v>100000</v>
      </c>
      <c r="K105" s="326">
        <v>300000</v>
      </c>
      <c r="L105" s="327">
        <f t="shared" si="0"/>
        <v>7.0965605336613527E-5</v>
      </c>
      <c r="N105"/>
    </row>
    <row r="106" spans="1:14">
      <c r="A106" s="419"/>
      <c r="B106" s="427"/>
      <c r="C106" s="324" t="s">
        <v>521</v>
      </c>
      <c r="D106" s="319">
        <v>76</v>
      </c>
      <c r="E106" s="325">
        <v>10</v>
      </c>
      <c r="F106" s="319">
        <v>100</v>
      </c>
      <c r="G106" s="325" t="s">
        <v>365</v>
      </c>
      <c r="H106" s="321">
        <v>91</v>
      </c>
      <c r="I106" s="325">
        <v>91</v>
      </c>
      <c r="J106" s="322">
        <v>100000</v>
      </c>
      <c r="K106" s="326">
        <v>9100000</v>
      </c>
      <c r="L106" s="327">
        <f t="shared" si="0"/>
        <v>2.1526233618772766E-3</v>
      </c>
      <c r="N106"/>
    </row>
    <row r="107" spans="1:14">
      <c r="A107" s="419"/>
      <c r="B107" s="427"/>
      <c r="C107" s="324" t="s">
        <v>531</v>
      </c>
      <c r="D107" s="319">
        <v>94</v>
      </c>
      <c r="E107" s="325">
        <v>175</v>
      </c>
      <c r="F107" s="319">
        <v>200</v>
      </c>
      <c r="G107" s="325" t="s">
        <v>365</v>
      </c>
      <c r="H107" s="321">
        <v>26</v>
      </c>
      <c r="I107" s="325">
        <v>26</v>
      </c>
      <c r="J107" s="322">
        <v>100000</v>
      </c>
      <c r="K107" s="326">
        <v>2600000</v>
      </c>
      <c r="L107" s="327">
        <f t="shared" si="0"/>
        <v>6.1503524625065051E-4</v>
      </c>
      <c r="N107"/>
    </row>
    <row r="108" spans="1:14">
      <c r="A108" s="419"/>
      <c r="B108" s="427"/>
      <c r="C108" s="324" t="s">
        <v>491</v>
      </c>
      <c r="D108" s="319">
        <v>97</v>
      </c>
      <c r="E108" s="325">
        <v>174</v>
      </c>
      <c r="F108" s="319">
        <v>200</v>
      </c>
      <c r="G108" s="325" t="s">
        <v>365</v>
      </c>
      <c r="H108" s="321">
        <v>27</v>
      </c>
      <c r="I108" s="325">
        <v>27</v>
      </c>
      <c r="J108" s="322">
        <v>100000</v>
      </c>
      <c r="K108" s="326">
        <v>2700000</v>
      </c>
      <c r="L108" s="327">
        <f t="shared" si="0"/>
        <v>6.3869044802952171E-4</v>
      </c>
      <c r="N108"/>
    </row>
    <row r="109" spans="1:14">
      <c r="A109" s="420"/>
      <c r="B109" s="428"/>
      <c r="C109" s="333" t="s">
        <v>510</v>
      </c>
      <c r="D109" s="334">
        <v>114</v>
      </c>
      <c r="E109" s="335">
        <v>509</v>
      </c>
      <c r="F109" s="334">
        <v>682</v>
      </c>
      <c r="G109" s="335" t="s">
        <v>365</v>
      </c>
      <c r="H109" s="336">
        <v>174</v>
      </c>
      <c r="I109" s="335">
        <v>174</v>
      </c>
      <c r="J109" s="337">
        <v>100000</v>
      </c>
      <c r="K109" s="338">
        <v>17400000</v>
      </c>
      <c r="L109" s="339">
        <f t="shared" si="0"/>
        <v>4.1160051095235845E-3</v>
      </c>
      <c r="N109"/>
    </row>
    <row r="110" spans="1:14">
      <c r="A110" s="418">
        <v>9</v>
      </c>
      <c r="B110" s="426" t="s">
        <v>528</v>
      </c>
      <c r="C110" s="343" t="s">
        <v>471</v>
      </c>
      <c r="D110" s="330">
        <v>10</v>
      </c>
      <c r="E110" s="320">
        <v>198</v>
      </c>
      <c r="F110" s="330">
        <v>199</v>
      </c>
      <c r="G110" s="320" t="s">
        <v>365</v>
      </c>
      <c r="H110" s="331">
        <v>2</v>
      </c>
      <c r="I110" s="320">
        <v>2</v>
      </c>
      <c r="J110" s="332">
        <v>100000</v>
      </c>
      <c r="K110" s="326">
        <v>200000</v>
      </c>
      <c r="L110" s="209">
        <f t="shared" si="0"/>
        <v>4.7310403557742344E-5</v>
      </c>
      <c r="N110"/>
    </row>
    <row r="111" spans="1:14">
      <c r="A111" s="419"/>
      <c r="B111" s="427"/>
      <c r="C111" s="344" t="s">
        <v>495</v>
      </c>
      <c r="D111" s="319">
        <v>26</v>
      </c>
      <c r="E111" s="325">
        <v>192</v>
      </c>
      <c r="F111" s="319">
        <v>200</v>
      </c>
      <c r="G111" s="325" t="s">
        <v>365</v>
      </c>
      <c r="H111" s="321">
        <v>9</v>
      </c>
      <c r="I111" s="325">
        <v>9</v>
      </c>
      <c r="J111" s="322">
        <v>100000</v>
      </c>
      <c r="K111" s="326">
        <v>900000</v>
      </c>
      <c r="L111" s="327">
        <f t="shared" si="0"/>
        <v>2.1289681600984055E-4</v>
      </c>
      <c r="N111"/>
    </row>
    <row r="112" spans="1:14">
      <c r="A112" s="419"/>
      <c r="B112" s="427"/>
      <c r="C112" s="344" t="s">
        <v>484</v>
      </c>
      <c r="D112" s="319">
        <v>27</v>
      </c>
      <c r="E112" s="325">
        <v>1</v>
      </c>
      <c r="F112" s="319">
        <v>132</v>
      </c>
      <c r="G112" s="325" t="s">
        <v>365</v>
      </c>
      <c r="H112" s="321">
        <v>132</v>
      </c>
      <c r="I112" s="325">
        <v>132</v>
      </c>
      <c r="J112" s="322">
        <v>100000</v>
      </c>
      <c r="K112" s="326">
        <v>13200000</v>
      </c>
      <c r="L112" s="327">
        <f t="shared" si="0"/>
        <v>3.1224866348109948E-3</v>
      </c>
      <c r="N112"/>
    </row>
    <row r="113" spans="1:14">
      <c r="A113" s="419"/>
      <c r="B113" s="427"/>
      <c r="C113" s="345" t="s">
        <v>527</v>
      </c>
      <c r="D113" s="319">
        <v>65</v>
      </c>
      <c r="E113" s="325">
        <v>64</v>
      </c>
      <c r="F113" s="319">
        <v>200</v>
      </c>
      <c r="G113" s="325" t="s">
        <v>365</v>
      </c>
      <c r="H113" s="321">
        <v>137</v>
      </c>
      <c r="I113" s="325">
        <v>137</v>
      </c>
      <c r="J113" s="322">
        <v>100000</v>
      </c>
      <c r="K113" s="326">
        <v>13700000</v>
      </c>
      <c r="L113" s="327">
        <f t="shared" si="0"/>
        <v>3.2407626437053506E-3</v>
      </c>
      <c r="N113"/>
    </row>
    <row r="114" spans="1:14">
      <c r="A114" s="419"/>
      <c r="B114" s="427"/>
      <c r="C114" s="345" t="s">
        <v>524</v>
      </c>
      <c r="D114" s="319">
        <v>69</v>
      </c>
      <c r="E114" s="325">
        <v>171</v>
      </c>
      <c r="F114" s="319">
        <v>173</v>
      </c>
      <c r="G114" s="325" t="s">
        <v>365</v>
      </c>
      <c r="H114" s="321">
        <v>3</v>
      </c>
      <c r="I114" s="325">
        <v>3</v>
      </c>
      <c r="J114" s="322">
        <v>100000</v>
      </c>
      <c r="K114" s="326">
        <v>300000</v>
      </c>
      <c r="L114" s="327">
        <f t="shared" si="0"/>
        <v>7.0965605336613527E-5</v>
      </c>
      <c r="N114"/>
    </row>
    <row r="115" spans="1:14">
      <c r="A115" s="419"/>
      <c r="B115" s="427"/>
      <c r="C115" s="345" t="s">
        <v>521</v>
      </c>
      <c r="D115" s="319">
        <v>77</v>
      </c>
      <c r="E115" s="325">
        <v>101</v>
      </c>
      <c r="F115" s="319">
        <v>183</v>
      </c>
      <c r="G115" s="325" t="s">
        <v>365</v>
      </c>
      <c r="H115" s="321">
        <v>83</v>
      </c>
      <c r="I115" s="325">
        <v>83</v>
      </c>
      <c r="J115" s="322">
        <v>100000</v>
      </c>
      <c r="K115" s="326">
        <v>8300000</v>
      </c>
      <c r="L115" s="327">
        <f t="shared" si="0"/>
        <v>1.9633817476463074E-3</v>
      </c>
      <c r="N115"/>
    </row>
    <row r="116" spans="1:14">
      <c r="A116" s="419"/>
      <c r="B116" s="427"/>
      <c r="C116" s="345" t="s">
        <v>530</v>
      </c>
      <c r="D116" s="319">
        <v>89</v>
      </c>
      <c r="E116" s="325">
        <v>144</v>
      </c>
      <c r="F116" s="319">
        <v>200</v>
      </c>
      <c r="G116" s="325" t="s">
        <v>365</v>
      </c>
      <c r="H116" s="321">
        <v>57</v>
      </c>
      <c r="I116" s="325">
        <v>57</v>
      </c>
      <c r="J116" s="322">
        <v>100000</v>
      </c>
      <c r="K116" s="326">
        <v>5700000</v>
      </c>
      <c r="L116" s="327">
        <f t="shared" si="0"/>
        <v>1.3483465013956568E-3</v>
      </c>
      <c r="N116"/>
    </row>
    <row r="117" spans="1:14">
      <c r="A117" s="420"/>
      <c r="B117" s="428"/>
      <c r="C117" s="346" t="s">
        <v>510</v>
      </c>
      <c r="D117" s="334">
        <v>115</v>
      </c>
      <c r="E117" s="335">
        <v>683</v>
      </c>
      <c r="F117" s="334">
        <v>848</v>
      </c>
      <c r="G117" s="335" t="s">
        <v>365</v>
      </c>
      <c r="H117" s="336">
        <v>166</v>
      </c>
      <c r="I117" s="335">
        <v>166</v>
      </c>
      <c r="J117" s="337">
        <v>100000</v>
      </c>
      <c r="K117" s="326">
        <v>16600000</v>
      </c>
      <c r="L117" s="339">
        <f t="shared" si="0"/>
        <v>3.9267634952926149E-3</v>
      </c>
      <c r="N117"/>
    </row>
    <row r="118" spans="1:14">
      <c r="A118" s="429">
        <v>10</v>
      </c>
      <c r="B118" s="417" t="s">
        <v>529</v>
      </c>
      <c r="C118" s="324" t="s">
        <v>474</v>
      </c>
      <c r="D118" s="319">
        <v>1</v>
      </c>
      <c r="E118" s="325">
        <v>1</v>
      </c>
      <c r="F118" s="319">
        <v>100</v>
      </c>
      <c r="G118" s="325" t="s">
        <v>365</v>
      </c>
      <c r="H118" s="321">
        <v>100</v>
      </c>
      <c r="I118" s="325">
        <v>100</v>
      </c>
      <c r="J118" s="322">
        <v>100000</v>
      </c>
      <c r="K118" s="323">
        <v>10000000</v>
      </c>
      <c r="L118" s="209">
        <f t="shared" si="0"/>
        <v>2.3655201778871172E-3</v>
      </c>
      <c r="N118"/>
    </row>
    <row r="119" spans="1:14">
      <c r="A119" s="430"/>
      <c r="B119" s="417"/>
      <c r="C119" s="324" t="s">
        <v>471</v>
      </c>
      <c r="D119" s="319">
        <v>3</v>
      </c>
      <c r="E119" s="325">
        <v>1</v>
      </c>
      <c r="F119" s="319">
        <v>50</v>
      </c>
      <c r="G119" s="325" t="s">
        <v>365</v>
      </c>
      <c r="H119" s="321">
        <v>50</v>
      </c>
      <c r="I119" s="325">
        <v>50</v>
      </c>
      <c r="J119" s="322">
        <v>100000</v>
      </c>
      <c r="K119" s="326">
        <v>5000000</v>
      </c>
      <c r="L119" s="327">
        <f t="shared" si="0"/>
        <v>1.1827600889435586E-3</v>
      </c>
      <c r="N119"/>
    </row>
    <row r="120" spans="1:14">
      <c r="A120" s="430"/>
      <c r="B120" s="417"/>
      <c r="C120" s="324" t="s">
        <v>524</v>
      </c>
      <c r="D120" s="319">
        <v>66</v>
      </c>
      <c r="E120" s="325">
        <v>1</v>
      </c>
      <c r="F120" s="319">
        <v>50</v>
      </c>
      <c r="G120" s="325" t="s">
        <v>365</v>
      </c>
      <c r="H120" s="321">
        <v>50</v>
      </c>
      <c r="I120" s="325">
        <v>50</v>
      </c>
      <c r="J120" s="322">
        <v>100000</v>
      </c>
      <c r="K120" s="326">
        <v>5000000</v>
      </c>
      <c r="L120" s="327">
        <f t="shared" si="0"/>
        <v>1.1827600889435586E-3</v>
      </c>
      <c r="N120"/>
    </row>
    <row r="121" spans="1:14">
      <c r="A121" s="430"/>
      <c r="B121" s="417"/>
      <c r="C121" s="345" t="s">
        <v>524</v>
      </c>
      <c r="D121" s="319">
        <v>70</v>
      </c>
      <c r="E121" s="325">
        <v>174</v>
      </c>
      <c r="F121" s="319">
        <v>199</v>
      </c>
      <c r="G121" s="325" t="s">
        <v>365</v>
      </c>
      <c r="H121" s="321">
        <v>26</v>
      </c>
      <c r="I121" s="325">
        <v>26</v>
      </c>
      <c r="J121" s="322">
        <v>100000</v>
      </c>
      <c r="K121" s="326">
        <v>2600000</v>
      </c>
      <c r="L121" s="327">
        <f t="shared" si="0"/>
        <v>6.1503524625065051E-4</v>
      </c>
      <c r="N121"/>
    </row>
    <row r="122" spans="1:14">
      <c r="A122" s="430"/>
      <c r="B122" s="417"/>
      <c r="C122" s="345" t="s">
        <v>490</v>
      </c>
      <c r="D122" s="319">
        <v>73</v>
      </c>
      <c r="E122" s="325">
        <v>93</v>
      </c>
      <c r="F122" s="319">
        <v>163</v>
      </c>
      <c r="G122" s="325" t="s">
        <v>365</v>
      </c>
      <c r="H122" s="321">
        <v>71</v>
      </c>
      <c r="I122" s="325">
        <v>71</v>
      </c>
      <c r="J122" s="322">
        <v>100000</v>
      </c>
      <c r="K122" s="326">
        <v>7100000</v>
      </c>
      <c r="L122" s="327">
        <f t="shared" si="0"/>
        <v>1.6795193262998534E-3</v>
      </c>
      <c r="N122"/>
    </row>
    <row r="123" spans="1:14">
      <c r="A123" s="430"/>
      <c r="B123" s="417"/>
      <c r="C123" s="345" t="s">
        <v>518</v>
      </c>
      <c r="D123" s="319">
        <v>82</v>
      </c>
      <c r="E123" s="325">
        <v>7</v>
      </c>
      <c r="F123" s="319">
        <v>100</v>
      </c>
      <c r="G123" s="325" t="s">
        <v>365</v>
      </c>
      <c r="H123" s="321">
        <v>94</v>
      </c>
      <c r="I123" s="325">
        <v>94</v>
      </c>
      <c r="J123" s="322">
        <v>100000</v>
      </c>
      <c r="K123" s="326">
        <v>9400000</v>
      </c>
      <c r="L123" s="327">
        <f t="shared" si="0"/>
        <v>2.2235889672138904E-3</v>
      </c>
      <c r="N123"/>
    </row>
    <row r="124" spans="1:14">
      <c r="A124" s="430"/>
      <c r="B124" s="417"/>
      <c r="C124" s="345" t="s">
        <v>530</v>
      </c>
      <c r="D124" s="319">
        <v>87</v>
      </c>
      <c r="E124" s="325">
        <v>1</v>
      </c>
      <c r="F124" s="319">
        <v>53</v>
      </c>
      <c r="G124" s="325" t="s">
        <v>365</v>
      </c>
      <c r="H124" s="321">
        <v>53</v>
      </c>
      <c r="I124" s="325">
        <v>53</v>
      </c>
      <c r="J124" s="322">
        <v>100000</v>
      </c>
      <c r="K124" s="326">
        <v>5300000</v>
      </c>
      <c r="L124" s="327">
        <f t="shared" si="0"/>
        <v>1.2537256942801722E-3</v>
      </c>
      <c r="N124"/>
    </row>
    <row r="125" spans="1:14">
      <c r="A125" s="431"/>
      <c r="B125" s="417"/>
      <c r="C125" s="344" t="s">
        <v>510</v>
      </c>
      <c r="D125" s="319">
        <v>116</v>
      </c>
      <c r="E125" s="325">
        <v>849</v>
      </c>
      <c r="F125" s="319">
        <v>1048</v>
      </c>
      <c r="G125" s="325" t="s">
        <v>365</v>
      </c>
      <c r="H125" s="321">
        <v>200</v>
      </c>
      <c r="I125" s="325">
        <v>200</v>
      </c>
      <c r="J125" s="322">
        <v>100000</v>
      </c>
      <c r="K125" s="338">
        <v>20000000</v>
      </c>
      <c r="L125" s="339">
        <f t="shared" ref="L125:L187" si="1">K125/$K$188</f>
        <v>4.7310403557742345E-3</v>
      </c>
      <c r="N125"/>
    </row>
    <row r="126" spans="1:14">
      <c r="A126" s="424">
        <v>11</v>
      </c>
      <c r="B126" s="426" t="s">
        <v>536</v>
      </c>
      <c r="C126" s="318" t="s">
        <v>484</v>
      </c>
      <c r="D126" s="330">
        <v>28</v>
      </c>
      <c r="E126" s="320">
        <v>133</v>
      </c>
      <c r="F126" s="330">
        <v>137</v>
      </c>
      <c r="G126" s="320" t="s">
        <v>365</v>
      </c>
      <c r="H126" s="331">
        <v>5</v>
      </c>
      <c r="I126" s="320">
        <v>5</v>
      </c>
      <c r="J126" s="332">
        <v>100000</v>
      </c>
      <c r="K126" s="323">
        <v>500000</v>
      </c>
      <c r="L126" s="209">
        <f t="shared" si="1"/>
        <v>1.1827600889435586E-4</v>
      </c>
      <c r="N126"/>
    </row>
    <row r="127" spans="1:14">
      <c r="A127" s="425"/>
      <c r="B127" s="427"/>
      <c r="C127" s="324" t="s">
        <v>489</v>
      </c>
      <c r="D127" s="319">
        <v>30</v>
      </c>
      <c r="E127" s="325">
        <v>1</v>
      </c>
      <c r="F127" s="319">
        <v>200</v>
      </c>
      <c r="G127" s="325" t="s">
        <v>365</v>
      </c>
      <c r="H127" s="321">
        <v>200</v>
      </c>
      <c r="I127" s="325">
        <v>200</v>
      </c>
      <c r="J127" s="322">
        <v>100000</v>
      </c>
      <c r="K127" s="326">
        <v>20000000</v>
      </c>
      <c r="L127" s="327">
        <f t="shared" si="1"/>
        <v>4.7310403557742345E-3</v>
      </c>
      <c r="N127"/>
    </row>
    <row r="128" spans="1:14">
      <c r="A128" s="425"/>
      <c r="B128" s="427"/>
      <c r="C128" s="324" t="s">
        <v>493</v>
      </c>
      <c r="D128" s="319">
        <v>31</v>
      </c>
      <c r="E128" s="325">
        <v>1</v>
      </c>
      <c r="F128" s="319">
        <v>200</v>
      </c>
      <c r="G128" s="325" t="s">
        <v>365</v>
      </c>
      <c r="H128" s="321">
        <v>200</v>
      </c>
      <c r="I128" s="325">
        <v>200</v>
      </c>
      <c r="J128" s="322">
        <v>100000</v>
      </c>
      <c r="K128" s="326">
        <v>20000000</v>
      </c>
      <c r="L128" s="327">
        <f t="shared" si="1"/>
        <v>4.7310403557742345E-3</v>
      </c>
      <c r="N128"/>
    </row>
    <row r="129" spans="1:14">
      <c r="A129" s="425"/>
      <c r="B129" s="427"/>
      <c r="C129" s="324" t="s">
        <v>477</v>
      </c>
      <c r="D129" s="319">
        <v>32</v>
      </c>
      <c r="E129" s="325">
        <v>1</v>
      </c>
      <c r="F129" s="319">
        <v>102</v>
      </c>
      <c r="G129" s="325" t="s">
        <v>365</v>
      </c>
      <c r="H129" s="321">
        <v>102</v>
      </c>
      <c r="I129" s="325">
        <v>102</v>
      </c>
      <c r="J129" s="322">
        <v>100000</v>
      </c>
      <c r="K129" s="326">
        <v>10200000</v>
      </c>
      <c r="L129" s="327">
        <f t="shared" si="1"/>
        <v>2.4128305814448596E-3</v>
      </c>
      <c r="N129"/>
    </row>
    <row r="130" spans="1:14">
      <c r="A130" s="425"/>
      <c r="B130" s="427"/>
      <c r="C130" s="324" t="s">
        <v>502</v>
      </c>
      <c r="D130" s="319">
        <v>36</v>
      </c>
      <c r="E130" s="325">
        <v>1</v>
      </c>
      <c r="F130" s="319">
        <v>200</v>
      </c>
      <c r="G130" s="325" t="s">
        <v>365</v>
      </c>
      <c r="H130" s="321">
        <v>200</v>
      </c>
      <c r="I130" s="325">
        <v>200</v>
      </c>
      <c r="J130" s="322">
        <v>100000</v>
      </c>
      <c r="K130" s="326">
        <v>20000000</v>
      </c>
      <c r="L130" s="327">
        <f t="shared" si="1"/>
        <v>4.7310403557742345E-3</v>
      </c>
      <c r="N130"/>
    </row>
    <row r="131" spans="1:14">
      <c r="A131" s="425"/>
      <c r="B131" s="427"/>
      <c r="C131" s="324" t="s">
        <v>510</v>
      </c>
      <c r="D131" s="319">
        <v>118</v>
      </c>
      <c r="E131" s="325">
        <v>2249</v>
      </c>
      <c r="F131" s="319">
        <v>5000</v>
      </c>
      <c r="G131" s="325" t="s">
        <v>365</v>
      </c>
      <c r="H131" s="321">
        <v>2752</v>
      </c>
      <c r="I131" s="325">
        <v>2752</v>
      </c>
      <c r="J131" s="322">
        <v>100000</v>
      </c>
      <c r="K131" s="326">
        <v>275200000</v>
      </c>
      <c r="L131" s="327">
        <f t="shared" si="1"/>
        <v>6.5099115295453466E-2</v>
      </c>
      <c r="N131"/>
    </row>
    <row r="132" spans="1:14">
      <c r="A132" s="425"/>
      <c r="B132" s="428"/>
      <c r="C132" s="333" t="s">
        <v>724</v>
      </c>
      <c r="D132" s="334">
        <v>119</v>
      </c>
      <c r="E132" s="335">
        <v>1</v>
      </c>
      <c r="F132" s="334">
        <v>2873</v>
      </c>
      <c r="G132" s="335" t="s">
        <v>365</v>
      </c>
      <c r="H132" s="336">
        <v>2873</v>
      </c>
      <c r="I132" s="335">
        <v>2873</v>
      </c>
      <c r="J132" s="337">
        <v>100000</v>
      </c>
      <c r="K132" s="338">
        <v>287300000</v>
      </c>
      <c r="L132" s="339">
        <f t="shared" si="1"/>
        <v>6.7961394710696885E-2</v>
      </c>
      <c r="N132"/>
    </row>
    <row r="133" spans="1:14">
      <c r="A133" s="366">
        <v>12</v>
      </c>
      <c r="B133" s="347" t="s">
        <v>725</v>
      </c>
      <c r="C133" s="348" t="s">
        <v>510</v>
      </c>
      <c r="D133" s="349">
        <v>117</v>
      </c>
      <c r="E133" s="350">
        <v>1049</v>
      </c>
      <c r="F133" s="349">
        <v>2248</v>
      </c>
      <c r="G133" s="350" t="s">
        <v>365</v>
      </c>
      <c r="H133" s="351">
        <v>1200</v>
      </c>
      <c r="I133" s="350">
        <v>1200</v>
      </c>
      <c r="J133" s="352">
        <v>100000</v>
      </c>
      <c r="K133" s="353">
        <v>120000000</v>
      </c>
      <c r="L133" s="180">
        <f t="shared" si="1"/>
        <v>2.8386242134645408E-2</v>
      </c>
      <c r="N133"/>
    </row>
    <row r="134" spans="1:14">
      <c r="A134" s="432">
        <v>13</v>
      </c>
      <c r="B134" s="427" t="s">
        <v>726</v>
      </c>
      <c r="C134" s="324" t="s">
        <v>474</v>
      </c>
      <c r="D134" s="319">
        <v>2</v>
      </c>
      <c r="E134" s="325">
        <v>101</v>
      </c>
      <c r="F134" s="319">
        <v>200</v>
      </c>
      <c r="G134" s="325" t="s">
        <v>365</v>
      </c>
      <c r="H134" s="321">
        <v>100</v>
      </c>
      <c r="I134" s="325">
        <v>100</v>
      </c>
      <c r="J134" s="322">
        <v>100000</v>
      </c>
      <c r="K134" s="326">
        <v>10000000</v>
      </c>
      <c r="L134" s="209">
        <f t="shared" si="1"/>
        <v>2.3655201778871172E-3</v>
      </c>
      <c r="N134"/>
    </row>
    <row r="135" spans="1:14">
      <c r="A135" s="432"/>
      <c r="B135" s="427"/>
      <c r="C135" s="324" t="s">
        <v>471</v>
      </c>
      <c r="D135" s="319">
        <v>4</v>
      </c>
      <c r="E135" s="325">
        <v>51</v>
      </c>
      <c r="F135" s="319">
        <v>150</v>
      </c>
      <c r="G135" s="325" t="s">
        <v>365</v>
      </c>
      <c r="H135" s="321">
        <v>100</v>
      </c>
      <c r="I135" s="325">
        <v>100</v>
      </c>
      <c r="J135" s="322">
        <v>100000</v>
      </c>
      <c r="K135" s="326">
        <v>10000000</v>
      </c>
      <c r="L135" s="327">
        <f t="shared" si="1"/>
        <v>2.3655201778871172E-3</v>
      </c>
      <c r="N135"/>
    </row>
    <row r="136" spans="1:14">
      <c r="A136" s="432"/>
      <c r="B136" s="427"/>
      <c r="C136" s="324" t="s">
        <v>471</v>
      </c>
      <c r="D136" s="319">
        <v>6</v>
      </c>
      <c r="E136" s="325">
        <v>161</v>
      </c>
      <c r="F136" s="319">
        <v>165</v>
      </c>
      <c r="G136" s="325" t="s">
        <v>365</v>
      </c>
      <c r="H136" s="321">
        <v>5</v>
      </c>
      <c r="I136" s="325">
        <v>5</v>
      </c>
      <c r="J136" s="322">
        <v>100000</v>
      </c>
      <c r="K136" s="326">
        <v>500000</v>
      </c>
      <c r="L136" s="327">
        <f t="shared" si="1"/>
        <v>1.1827600889435586E-4</v>
      </c>
      <c r="N136"/>
    </row>
    <row r="137" spans="1:14">
      <c r="A137" s="432"/>
      <c r="B137" s="427"/>
      <c r="C137" s="324" t="s">
        <v>471</v>
      </c>
      <c r="D137" s="319">
        <v>8</v>
      </c>
      <c r="E137" s="325">
        <v>181</v>
      </c>
      <c r="F137" s="319">
        <v>195</v>
      </c>
      <c r="G137" s="325" t="s">
        <v>365</v>
      </c>
      <c r="H137" s="321">
        <v>15</v>
      </c>
      <c r="I137" s="325">
        <v>15</v>
      </c>
      <c r="J137" s="322">
        <v>100000</v>
      </c>
      <c r="K137" s="326">
        <v>1500000</v>
      </c>
      <c r="L137" s="327">
        <f t="shared" si="1"/>
        <v>3.5482802668306761E-4</v>
      </c>
      <c r="N137"/>
    </row>
    <row r="138" spans="1:14">
      <c r="A138" s="432"/>
      <c r="B138" s="427"/>
      <c r="C138" s="324" t="s">
        <v>471</v>
      </c>
      <c r="D138" s="319">
        <v>11</v>
      </c>
      <c r="E138" s="325">
        <v>200</v>
      </c>
      <c r="F138" s="319">
        <v>200</v>
      </c>
      <c r="G138" s="325" t="s">
        <v>365</v>
      </c>
      <c r="H138" s="321">
        <v>1</v>
      </c>
      <c r="I138" s="325">
        <v>1</v>
      </c>
      <c r="J138" s="322">
        <v>100000</v>
      </c>
      <c r="K138" s="326">
        <v>100000</v>
      </c>
      <c r="L138" s="327">
        <f t="shared" si="1"/>
        <v>2.3655201778871172E-5</v>
      </c>
      <c r="N138"/>
    </row>
    <row r="139" spans="1:14">
      <c r="A139" s="432"/>
      <c r="B139" s="427"/>
      <c r="C139" s="324" t="s">
        <v>488</v>
      </c>
      <c r="D139" s="319">
        <v>12</v>
      </c>
      <c r="E139" s="325">
        <v>1</v>
      </c>
      <c r="F139" s="319">
        <v>100</v>
      </c>
      <c r="G139" s="325" t="s">
        <v>365</v>
      </c>
      <c r="H139" s="321">
        <v>100</v>
      </c>
      <c r="I139" s="325">
        <v>100</v>
      </c>
      <c r="J139" s="322">
        <v>100000</v>
      </c>
      <c r="K139" s="326">
        <v>10000000</v>
      </c>
      <c r="L139" s="327">
        <f t="shared" si="1"/>
        <v>2.3655201778871172E-3</v>
      </c>
      <c r="N139"/>
    </row>
    <row r="140" spans="1:14">
      <c r="A140" s="432"/>
      <c r="B140" s="427"/>
      <c r="C140" s="324" t="s">
        <v>488</v>
      </c>
      <c r="D140" s="319">
        <v>14</v>
      </c>
      <c r="E140" s="325">
        <v>151</v>
      </c>
      <c r="F140" s="319">
        <v>180</v>
      </c>
      <c r="G140" s="325" t="s">
        <v>365</v>
      </c>
      <c r="H140" s="321">
        <v>30</v>
      </c>
      <c r="I140" s="325">
        <v>30</v>
      </c>
      <c r="J140" s="322">
        <v>100000</v>
      </c>
      <c r="K140" s="326">
        <v>3000000</v>
      </c>
      <c r="L140" s="327">
        <f t="shared" si="1"/>
        <v>7.0965605336613521E-4</v>
      </c>
      <c r="N140"/>
    </row>
    <row r="141" spans="1:14">
      <c r="A141" s="432"/>
      <c r="B141" s="427"/>
      <c r="C141" s="324" t="s">
        <v>488</v>
      </c>
      <c r="D141" s="319">
        <v>16</v>
      </c>
      <c r="E141" s="325">
        <v>191</v>
      </c>
      <c r="F141" s="319">
        <v>199</v>
      </c>
      <c r="G141" s="325" t="s">
        <v>365</v>
      </c>
      <c r="H141" s="321">
        <v>9</v>
      </c>
      <c r="I141" s="325">
        <v>9</v>
      </c>
      <c r="J141" s="322">
        <v>100000</v>
      </c>
      <c r="K141" s="326">
        <v>900000</v>
      </c>
      <c r="L141" s="327">
        <f t="shared" si="1"/>
        <v>2.1289681600984055E-4</v>
      </c>
      <c r="N141"/>
    </row>
    <row r="142" spans="1:14">
      <c r="A142" s="432"/>
      <c r="B142" s="427"/>
      <c r="C142" s="324" t="s">
        <v>483</v>
      </c>
      <c r="D142" s="319">
        <v>19</v>
      </c>
      <c r="E142" s="325">
        <v>101</v>
      </c>
      <c r="F142" s="319">
        <v>190</v>
      </c>
      <c r="G142" s="325" t="s">
        <v>365</v>
      </c>
      <c r="H142" s="321">
        <v>90</v>
      </c>
      <c r="I142" s="325">
        <v>90</v>
      </c>
      <c r="J142" s="322">
        <v>100000</v>
      </c>
      <c r="K142" s="326">
        <v>9000000</v>
      </c>
      <c r="L142" s="327">
        <f t="shared" si="1"/>
        <v>2.1289681600984056E-3</v>
      </c>
      <c r="N142"/>
    </row>
    <row r="143" spans="1:14">
      <c r="A143" s="432"/>
      <c r="B143" s="427"/>
      <c r="C143" s="324" t="s">
        <v>494</v>
      </c>
      <c r="D143" s="319">
        <v>22</v>
      </c>
      <c r="E143" s="325">
        <v>101</v>
      </c>
      <c r="F143" s="319">
        <v>170</v>
      </c>
      <c r="G143" s="325" t="s">
        <v>365</v>
      </c>
      <c r="H143" s="321">
        <v>70</v>
      </c>
      <c r="I143" s="325">
        <v>70</v>
      </c>
      <c r="J143" s="322">
        <v>100000</v>
      </c>
      <c r="K143" s="326">
        <v>7000000</v>
      </c>
      <c r="L143" s="327">
        <f t="shared" si="1"/>
        <v>1.6558641245209822E-3</v>
      </c>
      <c r="N143"/>
    </row>
    <row r="144" spans="1:14">
      <c r="A144" s="432"/>
      <c r="B144" s="427"/>
      <c r="C144" s="324" t="s">
        <v>495</v>
      </c>
      <c r="D144" s="319">
        <v>24</v>
      </c>
      <c r="E144" s="325">
        <v>1</v>
      </c>
      <c r="F144" s="319">
        <v>50</v>
      </c>
      <c r="G144" s="325" t="s">
        <v>365</v>
      </c>
      <c r="H144" s="321">
        <v>50</v>
      </c>
      <c r="I144" s="325">
        <v>50</v>
      </c>
      <c r="J144" s="322">
        <v>100000</v>
      </c>
      <c r="K144" s="326">
        <v>5000000</v>
      </c>
      <c r="L144" s="327">
        <f t="shared" si="1"/>
        <v>1.1827600889435586E-3</v>
      </c>
      <c r="N144"/>
    </row>
    <row r="145" spans="1:14">
      <c r="A145" s="432"/>
      <c r="B145" s="427"/>
      <c r="C145" s="324" t="s">
        <v>484</v>
      </c>
      <c r="D145" s="319">
        <v>29</v>
      </c>
      <c r="E145" s="325">
        <v>138</v>
      </c>
      <c r="F145" s="319">
        <v>200</v>
      </c>
      <c r="G145" s="325" t="s">
        <v>365</v>
      </c>
      <c r="H145" s="321">
        <v>63</v>
      </c>
      <c r="I145" s="325">
        <v>63</v>
      </c>
      <c r="J145" s="322">
        <v>100000</v>
      </c>
      <c r="K145" s="326">
        <v>6300000</v>
      </c>
      <c r="L145" s="327">
        <f t="shared" si="1"/>
        <v>1.490277712068884E-3</v>
      </c>
      <c r="N145"/>
    </row>
    <row r="146" spans="1:14">
      <c r="A146" s="432"/>
      <c r="B146" s="427"/>
      <c r="C146" s="324" t="s">
        <v>480</v>
      </c>
      <c r="D146" s="319">
        <v>37</v>
      </c>
      <c r="E146" s="325">
        <v>1</v>
      </c>
      <c r="F146" s="319">
        <v>200</v>
      </c>
      <c r="G146" s="325" t="s">
        <v>365</v>
      </c>
      <c r="H146" s="321">
        <v>200</v>
      </c>
      <c r="I146" s="325">
        <v>200</v>
      </c>
      <c r="J146" s="322">
        <v>100000</v>
      </c>
      <c r="K146" s="326">
        <v>20000000</v>
      </c>
      <c r="L146" s="327">
        <f t="shared" si="1"/>
        <v>4.7310403557742345E-3</v>
      </c>
      <c r="N146"/>
    </row>
    <row r="147" spans="1:14">
      <c r="A147" s="432"/>
      <c r="B147" s="427"/>
      <c r="C147" s="324" t="s">
        <v>481</v>
      </c>
      <c r="D147" s="319">
        <v>38</v>
      </c>
      <c r="E147" s="325">
        <v>1</v>
      </c>
      <c r="F147" s="319">
        <v>200</v>
      </c>
      <c r="G147" s="325" t="s">
        <v>365</v>
      </c>
      <c r="H147" s="321">
        <v>200</v>
      </c>
      <c r="I147" s="325">
        <v>200</v>
      </c>
      <c r="J147" s="322">
        <v>100000</v>
      </c>
      <c r="K147" s="326">
        <v>20000000</v>
      </c>
      <c r="L147" s="327">
        <f t="shared" si="1"/>
        <v>4.7310403557742345E-3</v>
      </c>
      <c r="N147"/>
    </row>
    <row r="148" spans="1:14">
      <c r="A148" s="432"/>
      <c r="B148" s="427"/>
      <c r="C148" s="324" t="s">
        <v>511</v>
      </c>
      <c r="D148" s="319">
        <v>39</v>
      </c>
      <c r="E148" s="325">
        <v>1</v>
      </c>
      <c r="F148" s="319">
        <v>200</v>
      </c>
      <c r="G148" s="325" t="s">
        <v>365</v>
      </c>
      <c r="H148" s="321">
        <v>200</v>
      </c>
      <c r="I148" s="325">
        <v>200</v>
      </c>
      <c r="J148" s="322">
        <v>100000</v>
      </c>
      <c r="K148" s="326">
        <v>20000000</v>
      </c>
      <c r="L148" s="327">
        <f t="shared" si="1"/>
        <v>4.7310403557742345E-3</v>
      </c>
      <c r="N148"/>
    </row>
    <row r="149" spans="1:14">
      <c r="A149" s="432"/>
      <c r="B149" s="427"/>
      <c r="C149" s="324" t="s">
        <v>512</v>
      </c>
      <c r="D149" s="319">
        <v>40</v>
      </c>
      <c r="E149" s="325">
        <v>1</v>
      </c>
      <c r="F149" s="319">
        <v>200</v>
      </c>
      <c r="G149" s="325" t="s">
        <v>365</v>
      </c>
      <c r="H149" s="321">
        <v>200</v>
      </c>
      <c r="I149" s="325">
        <v>200</v>
      </c>
      <c r="J149" s="322">
        <v>100000</v>
      </c>
      <c r="K149" s="326">
        <v>20000000</v>
      </c>
      <c r="L149" s="327">
        <f t="shared" si="1"/>
        <v>4.7310403557742345E-3</v>
      </c>
      <c r="N149"/>
    </row>
    <row r="150" spans="1:14">
      <c r="A150" s="432"/>
      <c r="B150" s="427"/>
      <c r="C150" s="324" t="s">
        <v>513</v>
      </c>
      <c r="D150" s="319">
        <v>41</v>
      </c>
      <c r="E150" s="325">
        <v>1</v>
      </c>
      <c r="F150" s="319">
        <v>200</v>
      </c>
      <c r="G150" s="325" t="s">
        <v>365</v>
      </c>
      <c r="H150" s="321">
        <v>200</v>
      </c>
      <c r="I150" s="325">
        <v>200</v>
      </c>
      <c r="J150" s="322">
        <v>100000</v>
      </c>
      <c r="K150" s="326">
        <v>20000000</v>
      </c>
      <c r="L150" s="327">
        <f t="shared" si="1"/>
        <v>4.7310403557742345E-3</v>
      </c>
      <c r="N150"/>
    </row>
    <row r="151" spans="1:14">
      <c r="A151" s="432"/>
      <c r="B151" s="427"/>
      <c r="C151" s="324" t="s">
        <v>478</v>
      </c>
      <c r="D151" s="319">
        <v>42</v>
      </c>
      <c r="E151" s="325">
        <v>1</v>
      </c>
      <c r="F151" s="319">
        <v>200</v>
      </c>
      <c r="G151" s="325" t="s">
        <v>365</v>
      </c>
      <c r="H151" s="321">
        <v>200</v>
      </c>
      <c r="I151" s="325">
        <v>200</v>
      </c>
      <c r="J151" s="322">
        <v>100000</v>
      </c>
      <c r="K151" s="326">
        <v>20000000</v>
      </c>
      <c r="L151" s="327">
        <f t="shared" si="1"/>
        <v>4.7310403557742345E-3</v>
      </c>
      <c r="N151"/>
    </row>
    <row r="152" spans="1:14">
      <c r="A152" s="432"/>
      <c r="B152" s="427"/>
      <c r="C152" s="324" t="s">
        <v>514</v>
      </c>
      <c r="D152" s="319">
        <v>43</v>
      </c>
      <c r="E152" s="325">
        <v>1</v>
      </c>
      <c r="F152" s="319">
        <v>200</v>
      </c>
      <c r="G152" s="325" t="s">
        <v>365</v>
      </c>
      <c r="H152" s="321">
        <v>200</v>
      </c>
      <c r="I152" s="325">
        <v>200</v>
      </c>
      <c r="J152" s="322">
        <v>100000</v>
      </c>
      <c r="K152" s="326">
        <v>20000000</v>
      </c>
      <c r="L152" s="327">
        <f t="shared" si="1"/>
        <v>4.7310403557742345E-3</v>
      </c>
      <c r="N152"/>
    </row>
    <row r="153" spans="1:14">
      <c r="A153" s="432"/>
      <c r="B153" s="427"/>
      <c r="C153" s="324" t="s">
        <v>515</v>
      </c>
      <c r="D153" s="319">
        <v>44</v>
      </c>
      <c r="E153" s="325">
        <v>1</v>
      </c>
      <c r="F153" s="319">
        <v>200</v>
      </c>
      <c r="G153" s="325" t="s">
        <v>365</v>
      </c>
      <c r="H153" s="321">
        <v>200</v>
      </c>
      <c r="I153" s="325">
        <v>200</v>
      </c>
      <c r="J153" s="322">
        <v>100000</v>
      </c>
      <c r="K153" s="326">
        <v>20000000</v>
      </c>
      <c r="L153" s="327">
        <f t="shared" si="1"/>
        <v>4.7310403557742345E-3</v>
      </c>
      <c r="N153"/>
    </row>
    <row r="154" spans="1:14">
      <c r="A154" s="432"/>
      <c r="B154" s="427"/>
      <c r="C154" s="324" t="s">
        <v>475</v>
      </c>
      <c r="D154" s="319">
        <v>45</v>
      </c>
      <c r="E154" s="325">
        <v>1</v>
      </c>
      <c r="F154" s="319">
        <v>200</v>
      </c>
      <c r="G154" s="325" t="s">
        <v>365</v>
      </c>
      <c r="H154" s="321">
        <v>200</v>
      </c>
      <c r="I154" s="325">
        <v>200</v>
      </c>
      <c r="J154" s="322">
        <v>100000</v>
      </c>
      <c r="K154" s="326">
        <v>20000000</v>
      </c>
      <c r="L154" s="327">
        <f t="shared" si="1"/>
        <v>4.7310403557742345E-3</v>
      </c>
      <c r="N154"/>
    </row>
    <row r="155" spans="1:14">
      <c r="A155" s="432"/>
      <c r="B155" s="427"/>
      <c r="C155" s="324" t="s">
        <v>516</v>
      </c>
      <c r="D155" s="319">
        <v>46</v>
      </c>
      <c r="E155" s="325">
        <v>1</v>
      </c>
      <c r="F155" s="319">
        <v>200</v>
      </c>
      <c r="G155" s="325" t="s">
        <v>365</v>
      </c>
      <c r="H155" s="321">
        <v>200</v>
      </c>
      <c r="I155" s="325">
        <v>200</v>
      </c>
      <c r="J155" s="322">
        <v>100000</v>
      </c>
      <c r="K155" s="326">
        <v>20000000</v>
      </c>
      <c r="L155" s="327">
        <f t="shared" si="1"/>
        <v>4.7310403557742345E-3</v>
      </c>
      <c r="N155"/>
    </row>
    <row r="156" spans="1:14">
      <c r="A156" s="432"/>
      <c r="B156" s="427"/>
      <c r="C156" s="324" t="s">
        <v>517</v>
      </c>
      <c r="D156" s="319">
        <v>47</v>
      </c>
      <c r="E156" s="325">
        <v>1</v>
      </c>
      <c r="F156" s="319">
        <v>200</v>
      </c>
      <c r="G156" s="325" t="s">
        <v>365</v>
      </c>
      <c r="H156" s="321">
        <v>200</v>
      </c>
      <c r="I156" s="325">
        <v>200</v>
      </c>
      <c r="J156" s="322">
        <v>100000</v>
      </c>
      <c r="K156" s="326">
        <v>20000000</v>
      </c>
      <c r="L156" s="327">
        <f t="shared" si="1"/>
        <v>4.7310403557742345E-3</v>
      </c>
      <c r="N156"/>
    </row>
    <row r="157" spans="1:14">
      <c r="A157" s="432"/>
      <c r="B157" s="427"/>
      <c r="C157" s="324" t="s">
        <v>485</v>
      </c>
      <c r="D157" s="319">
        <v>48</v>
      </c>
      <c r="E157" s="325">
        <v>1</v>
      </c>
      <c r="F157" s="319">
        <v>200</v>
      </c>
      <c r="G157" s="325" t="s">
        <v>365</v>
      </c>
      <c r="H157" s="321">
        <v>200</v>
      </c>
      <c r="I157" s="325">
        <v>200</v>
      </c>
      <c r="J157" s="322">
        <v>100000</v>
      </c>
      <c r="K157" s="326">
        <v>20000000</v>
      </c>
      <c r="L157" s="327">
        <f t="shared" si="1"/>
        <v>4.7310403557742345E-3</v>
      </c>
      <c r="N157"/>
    </row>
    <row r="158" spans="1:14">
      <c r="A158" s="432"/>
      <c r="B158" s="427"/>
      <c r="C158" s="324" t="s">
        <v>492</v>
      </c>
      <c r="D158" s="319">
        <v>49</v>
      </c>
      <c r="E158" s="325">
        <v>1</v>
      </c>
      <c r="F158" s="319">
        <v>200</v>
      </c>
      <c r="G158" s="325" t="s">
        <v>365</v>
      </c>
      <c r="H158" s="321">
        <v>200</v>
      </c>
      <c r="I158" s="325">
        <v>200</v>
      </c>
      <c r="J158" s="322">
        <v>100000</v>
      </c>
      <c r="K158" s="326">
        <v>20000000</v>
      </c>
      <c r="L158" s="327">
        <f t="shared" si="1"/>
        <v>4.7310403557742345E-3</v>
      </c>
      <c r="N158"/>
    </row>
    <row r="159" spans="1:14">
      <c r="A159" s="432"/>
      <c r="B159" s="427"/>
      <c r="C159" s="324" t="s">
        <v>496</v>
      </c>
      <c r="D159" s="319">
        <v>50</v>
      </c>
      <c r="E159" s="325">
        <v>1</v>
      </c>
      <c r="F159" s="319">
        <v>200</v>
      </c>
      <c r="G159" s="325" t="s">
        <v>365</v>
      </c>
      <c r="H159" s="321">
        <v>200</v>
      </c>
      <c r="I159" s="325">
        <v>200</v>
      </c>
      <c r="J159" s="322">
        <v>100000</v>
      </c>
      <c r="K159" s="326">
        <v>20000000</v>
      </c>
      <c r="L159" s="327">
        <f t="shared" si="1"/>
        <v>4.7310403557742345E-3</v>
      </c>
      <c r="N159"/>
    </row>
    <row r="160" spans="1:14">
      <c r="A160" s="432"/>
      <c r="B160" s="427"/>
      <c r="C160" s="324" t="s">
        <v>497</v>
      </c>
      <c r="D160" s="319">
        <v>51</v>
      </c>
      <c r="E160" s="325">
        <v>1</v>
      </c>
      <c r="F160" s="319">
        <v>200</v>
      </c>
      <c r="G160" s="325" t="s">
        <v>365</v>
      </c>
      <c r="H160" s="321">
        <v>200</v>
      </c>
      <c r="I160" s="325">
        <v>200</v>
      </c>
      <c r="J160" s="322">
        <v>100000</v>
      </c>
      <c r="K160" s="326">
        <v>20000000</v>
      </c>
      <c r="L160" s="327">
        <f t="shared" si="1"/>
        <v>4.7310403557742345E-3</v>
      </c>
      <c r="N160"/>
    </row>
    <row r="161" spans="1:14">
      <c r="A161" s="432"/>
      <c r="B161" s="427"/>
      <c r="C161" s="324" t="s">
        <v>498</v>
      </c>
      <c r="D161" s="319">
        <v>52</v>
      </c>
      <c r="E161" s="325">
        <v>1</v>
      </c>
      <c r="F161" s="319">
        <v>200</v>
      </c>
      <c r="G161" s="325" t="s">
        <v>365</v>
      </c>
      <c r="H161" s="321">
        <v>200</v>
      </c>
      <c r="I161" s="325">
        <v>200</v>
      </c>
      <c r="J161" s="322">
        <v>100000</v>
      </c>
      <c r="K161" s="326">
        <v>20000000</v>
      </c>
      <c r="L161" s="327">
        <f t="shared" si="1"/>
        <v>4.7310403557742345E-3</v>
      </c>
      <c r="N161"/>
    </row>
    <row r="162" spans="1:14">
      <c r="A162" s="432"/>
      <c r="B162" s="427"/>
      <c r="C162" s="324" t="s">
        <v>479</v>
      </c>
      <c r="D162" s="319">
        <v>53</v>
      </c>
      <c r="E162" s="325">
        <v>1</v>
      </c>
      <c r="F162" s="319">
        <v>200</v>
      </c>
      <c r="G162" s="325" t="s">
        <v>365</v>
      </c>
      <c r="H162" s="321">
        <v>200</v>
      </c>
      <c r="I162" s="325">
        <v>200</v>
      </c>
      <c r="J162" s="322">
        <v>100000</v>
      </c>
      <c r="K162" s="326">
        <v>20000000</v>
      </c>
      <c r="L162" s="327">
        <f t="shared" si="1"/>
        <v>4.7310403557742345E-3</v>
      </c>
      <c r="N162"/>
    </row>
    <row r="163" spans="1:14">
      <c r="A163" s="432"/>
      <c r="B163" s="427"/>
      <c r="C163" s="324" t="s">
        <v>499</v>
      </c>
      <c r="D163" s="319">
        <v>54</v>
      </c>
      <c r="E163" s="325">
        <v>1</v>
      </c>
      <c r="F163" s="319">
        <v>200</v>
      </c>
      <c r="G163" s="325" t="s">
        <v>365</v>
      </c>
      <c r="H163" s="321">
        <v>200</v>
      </c>
      <c r="I163" s="325">
        <v>200</v>
      </c>
      <c r="J163" s="322">
        <v>100000</v>
      </c>
      <c r="K163" s="326">
        <v>20000000</v>
      </c>
      <c r="L163" s="327">
        <f t="shared" si="1"/>
        <v>4.7310403557742345E-3</v>
      </c>
      <c r="N163"/>
    </row>
    <row r="164" spans="1:14">
      <c r="A164" s="432"/>
      <c r="B164" s="427"/>
      <c r="C164" s="324" t="s">
        <v>500</v>
      </c>
      <c r="D164" s="319">
        <v>55</v>
      </c>
      <c r="E164" s="325">
        <v>1</v>
      </c>
      <c r="F164" s="319">
        <v>200</v>
      </c>
      <c r="G164" s="325" t="s">
        <v>365</v>
      </c>
      <c r="H164" s="321">
        <v>200</v>
      </c>
      <c r="I164" s="325">
        <v>200</v>
      </c>
      <c r="J164" s="322">
        <v>100000</v>
      </c>
      <c r="K164" s="326">
        <v>20000000</v>
      </c>
      <c r="L164" s="327">
        <f t="shared" si="1"/>
        <v>4.7310403557742345E-3</v>
      </c>
      <c r="N164"/>
    </row>
    <row r="165" spans="1:14">
      <c r="A165" s="432"/>
      <c r="B165" s="427"/>
      <c r="C165" s="324" t="s">
        <v>501</v>
      </c>
      <c r="D165" s="319">
        <v>56</v>
      </c>
      <c r="E165" s="325">
        <v>1</v>
      </c>
      <c r="F165" s="319">
        <v>200</v>
      </c>
      <c r="G165" s="325" t="s">
        <v>365</v>
      </c>
      <c r="H165" s="321">
        <v>200</v>
      </c>
      <c r="I165" s="325">
        <v>200</v>
      </c>
      <c r="J165" s="322">
        <v>100000</v>
      </c>
      <c r="K165" s="326">
        <v>20000000</v>
      </c>
      <c r="L165" s="327">
        <f t="shared" si="1"/>
        <v>4.7310403557742345E-3</v>
      </c>
      <c r="N165"/>
    </row>
    <row r="166" spans="1:14">
      <c r="A166" s="432"/>
      <c r="B166" s="427"/>
      <c r="C166" s="324" t="s">
        <v>490</v>
      </c>
      <c r="D166" s="319">
        <v>72</v>
      </c>
      <c r="E166" s="325">
        <v>1</v>
      </c>
      <c r="F166" s="319">
        <v>92</v>
      </c>
      <c r="G166" s="325" t="s">
        <v>365</v>
      </c>
      <c r="H166" s="321">
        <v>92</v>
      </c>
      <c r="I166" s="325">
        <v>92</v>
      </c>
      <c r="J166" s="322">
        <v>100000</v>
      </c>
      <c r="K166" s="326">
        <v>9200000</v>
      </c>
      <c r="L166" s="327">
        <f t="shared" si="1"/>
        <v>2.176278563656148E-3</v>
      </c>
      <c r="N166"/>
    </row>
    <row r="167" spans="1:14">
      <c r="A167" s="432"/>
      <c r="B167" s="427"/>
      <c r="C167" s="324" t="s">
        <v>503</v>
      </c>
      <c r="D167" s="319">
        <v>79</v>
      </c>
      <c r="E167" s="325">
        <v>1</v>
      </c>
      <c r="F167" s="319">
        <v>192</v>
      </c>
      <c r="G167" s="325" t="s">
        <v>365</v>
      </c>
      <c r="H167" s="321">
        <v>192</v>
      </c>
      <c r="I167" s="325">
        <v>192</v>
      </c>
      <c r="J167" s="322">
        <v>100000</v>
      </c>
      <c r="K167" s="326">
        <v>19200000</v>
      </c>
      <c r="L167" s="327">
        <f t="shared" si="1"/>
        <v>4.5417987415432657E-3</v>
      </c>
      <c r="N167"/>
    </row>
    <row r="168" spans="1:14">
      <c r="A168" s="432"/>
      <c r="B168" s="427"/>
      <c r="C168" s="324" t="s">
        <v>518</v>
      </c>
      <c r="D168" s="319">
        <v>83</v>
      </c>
      <c r="E168" s="325">
        <v>101</v>
      </c>
      <c r="F168" s="319">
        <v>200</v>
      </c>
      <c r="G168" s="325" t="s">
        <v>365</v>
      </c>
      <c r="H168" s="321">
        <v>100</v>
      </c>
      <c r="I168" s="325">
        <v>100</v>
      </c>
      <c r="J168" s="322">
        <v>100000</v>
      </c>
      <c r="K168" s="326">
        <v>10000000</v>
      </c>
      <c r="L168" s="327">
        <f t="shared" si="1"/>
        <v>2.3655201778871172E-3</v>
      </c>
      <c r="N168"/>
    </row>
    <row r="169" spans="1:14">
      <c r="A169" s="432"/>
      <c r="B169" s="427"/>
      <c r="C169" s="324" t="s">
        <v>519</v>
      </c>
      <c r="D169" s="319">
        <v>84</v>
      </c>
      <c r="E169" s="325">
        <v>1</v>
      </c>
      <c r="F169" s="319">
        <v>200</v>
      </c>
      <c r="G169" s="325" t="s">
        <v>365</v>
      </c>
      <c r="H169" s="321">
        <v>200</v>
      </c>
      <c r="I169" s="325">
        <v>200</v>
      </c>
      <c r="J169" s="322">
        <v>100000</v>
      </c>
      <c r="K169" s="326">
        <v>20000000</v>
      </c>
      <c r="L169" s="327">
        <f t="shared" si="1"/>
        <v>4.7310403557742345E-3</v>
      </c>
      <c r="N169"/>
    </row>
    <row r="170" spans="1:14">
      <c r="A170" s="432"/>
      <c r="B170" s="427"/>
      <c r="C170" s="324" t="s">
        <v>504</v>
      </c>
      <c r="D170" s="319">
        <v>85</v>
      </c>
      <c r="E170" s="325">
        <v>1</v>
      </c>
      <c r="F170" s="319">
        <v>200</v>
      </c>
      <c r="G170" s="325" t="s">
        <v>365</v>
      </c>
      <c r="H170" s="321">
        <v>200</v>
      </c>
      <c r="I170" s="325">
        <v>200</v>
      </c>
      <c r="J170" s="322">
        <v>100000</v>
      </c>
      <c r="K170" s="326">
        <v>20000000</v>
      </c>
      <c r="L170" s="327">
        <f t="shared" si="1"/>
        <v>4.7310403557742345E-3</v>
      </c>
      <c r="N170"/>
    </row>
    <row r="171" spans="1:14">
      <c r="A171" s="432"/>
      <c r="B171" s="427"/>
      <c r="C171" s="324" t="s">
        <v>505</v>
      </c>
      <c r="D171" s="319">
        <v>86</v>
      </c>
      <c r="E171" s="325">
        <v>1</v>
      </c>
      <c r="F171" s="319">
        <v>200</v>
      </c>
      <c r="G171" s="325" t="s">
        <v>365</v>
      </c>
      <c r="H171" s="321">
        <v>200</v>
      </c>
      <c r="I171" s="325">
        <v>200</v>
      </c>
      <c r="J171" s="322">
        <v>100000</v>
      </c>
      <c r="K171" s="326">
        <v>20000000</v>
      </c>
      <c r="L171" s="327">
        <f t="shared" si="1"/>
        <v>4.7310403557742345E-3</v>
      </c>
      <c r="N171"/>
    </row>
    <row r="172" spans="1:14">
      <c r="A172" s="432"/>
      <c r="B172" s="427"/>
      <c r="C172" s="324" t="s">
        <v>507</v>
      </c>
      <c r="D172" s="319">
        <v>98</v>
      </c>
      <c r="E172" s="325">
        <v>1</v>
      </c>
      <c r="F172" s="319">
        <v>200</v>
      </c>
      <c r="G172" s="325" t="s">
        <v>365</v>
      </c>
      <c r="H172" s="321">
        <v>200</v>
      </c>
      <c r="I172" s="325">
        <v>200</v>
      </c>
      <c r="J172" s="322">
        <v>100000</v>
      </c>
      <c r="K172" s="326">
        <v>20000000</v>
      </c>
      <c r="L172" s="327">
        <f t="shared" si="1"/>
        <v>4.7310403557742345E-3</v>
      </c>
      <c r="N172"/>
    </row>
    <row r="173" spans="1:14">
      <c r="A173" s="432"/>
      <c r="B173" s="427"/>
      <c r="C173" s="324" t="s">
        <v>508</v>
      </c>
      <c r="D173" s="319">
        <v>99</v>
      </c>
      <c r="E173" s="325">
        <v>1</v>
      </c>
      <c r="F173" s="319">
        <v>200</v>
      </c>
      <c r="G173" s="325" t="s">
        <v>365</v>
      </c>
      <c r="H173" s="321">
        <v>200</v>
      </c>
      <c r="I173" s="325">
        <v>200</v>
      </c>
      <c r="J173" s="322">
        <v>100000</v>
      </c>
      <c r="K173" s="326">
        <v>20000000</v>
      </c>
      <c r="L173" s="327">
        <f t="shared" si="1"/>
        <v>4.7310403557742345E-3</v>
      </c>
      <c r="N173"/>
    </row>
    <row r="174" spans="1:14">
      <c r="A174" s="432"/>
      <c r="B174" s="427"/>
      <c r="C174" s="324" t="s">
        <v>506</v>
      </c>
      <c r="D174" s="319">
        <v>100</v>
      </c>
      <c r="E174" s="325">
        <v>1</v>
      </c>
      <c r="F174" s="319">
        <v>200</v>
      </c>
      <c r="G174" s="325" t="s">
        <v>365</v>
      </c>
      <c r="H174" s="321">
        <v>200</v>
      </c>
      <c r="I174" s="325">
        <v>200</v>
      </c>
      <c r="J174" s="322">
        <v>100000</v>
      </c>
      <c r="K174" s="326">
        <v>20000000</v>
      </c>
      <c r="L174" s="327">
        <f t="shared" si="1"/>
        <v>4.7310403557742345E-3</v>
      </c>
      <c r="N174"/>
    </row>
    <row r="175" spans="1:14">
      <c r="A175" s="432"/>
      <c r="B175" s="427"/>
      <c r="C175" s="324" t="s">
        <v>509</v>
      </c>
      <c r="D175" s="319">
        <v>101</v>
      </c>
      <c r="E175" s="325">
        <v>1</v>
      </c>
      <c r="F175" s="319">
        <v>200</v>
      </c>
      <c r="G175" s="325" t="s">
        <v>365</v>
      </c>
      <c r="H175" s="321">
        <v>200</v>
      </c>
      <c r="I175" s="325">
        <v>200</v>
      </c>
      <c r="J175" s="322">
        <v>100000</v>
      </c>
      <c r="K175" s="326">
        <v>20000000</v>
      </c>
      <c r="L175" s="327">
        <f t="shared" si="1"/>
        <v>4.7310403557742345E-3</v>
      </c>
      <c r="N175"/>
    </row>
    <row r="176" spans="1:14">
      <c r="A176" s="432"/>
      <c r="B176" s="427"/>
      <c r="C176" s="324" t="s">
        <v>473</v>
      </c>
      <c r="D176" s="319">
        <v>103</v>
      </c>
      <c r="E176" s="325">
        <v>13</v>
      </c>
      <c r="F176" s="319">
        <v>2420</v>
      </c>
      <c r="G176" s="325" t="s">
        <v>365</v>
      </c>
      <c r="H176" s="321">
        <v>2408</v>
      </c>
      <c r="I176" s="325">
        <v>2408</v>
      </c>
      <c r="J176" s="322">
        <v>100000</v>
      </c>
      <c r="K176" s="326">
        <v>240800000</v>
      </c>
      <c r="L176" s="327">
        <f t="shared" si="1"/>
        <v>5.6961725883521788E-2</v>
      </c>
      <c r="N176"/>
    </row>
    <row r="177" spans="1:14">
      <c r="A177" s="432"/>
      <c r="B177" s="427"/>
      <c r="C177" s="324" t="s">
        <v>473</v>
      </c>
      <c r="D177" s="319">
        <v>109</v>
      </c>
      <c r="E177" s="325">
        <v>2763</v>
      </c>
      <c r="F177" s="319">
        <v>5000</v>
      </c>
      <c r="G177" s="325" t="s">
        <v>365</v>
      </c>
      <c r="H177" s="321">
        <v>2238</v>
      </c>
      <c r="I177" s="325">
        <v>2238</v>
      </c>
      <c r="J177" s="322">
        <v>100000</v>
      </c>
      <c r="K177" s="326">
        <v>223800000</v>
      </c>
      <c r="L177" s="327">
        <f t="shared" si="1"/>
        <v>5.2940341581113687E-2</v>
      </c>
      <c r="N177"/>
    </row>
    <row r="178" spans="1:14">
      <c r="A178" s="432"/>
      <c r="B178" s="427"/>
      <c r="C178" s="324" t="s">
        <v>510</v>
      </c>
      <c r="D178" s="319">
        <v>110</v>
      </c>
      <c r="E178" s="325">
        <v>1</v>
      </c>
      <c r="F178" s="319">
        <v>170</v>
      </c>
      <c r="G178" s="325" t="s">
        <v>365</v>
      </c>
      <c r="H178" s="321">
        <v>170</v>
      </c>
      <c r="I178" s="325">
        <v>170</v>
      </c>
      <c r="J178" s="322">
        <v>100000</v>
      </c>
      <c r="K178" s="326">
        <v>17000000</v>
      </c>
      <c r="L178" s="339">
        <f t="shared" si="1"/>
        <v>4.0213843024080997E-3</v>
      </c>
      <c r="N178"/>
    </row>
    <row r="179" spans="1:14" ht="14.25" customHeight="1">
      <c r="A179" s="371">
        <v>14</v>
      </c>
      <c r="B179" s="369" t="s">
        <v>727</v>
      </c>
      <c r="C179" s="354" t="s">
        <v>474</v>
      </c>
      <c r="D179" s="350">
        <v>1</v>
      </c>
      <c r="E179" s="177">
        <v>1</v>
      </c>
      <c r="F179" s="177">
        <v>3068</v>
      </c>
      <c r="G179" s="350" t="s">
        <v>728</v>
      </c>
      <c r="H179" s="355">
        <f>F179+E179-1</f>
        <v>3068</v>
      </c>
      <c r="I179" s="356">
        <v>0</v>
      </c>
      <c r="J179" s="357">
        <v>100000</v>
      </c>
      <c r="K179" s="358">
        <f>J179*H179</f>
        <v>306800000</v>
      </c>
      <c r="L179" s="327">
        <f t="shared" si="1"/>
        <v>7.2574159057576762E-2</v>
      </c>
      <c r="N179"/>
    </row>
    <row r="180" spans="1:14">
      <c r="A180" s="371">
        <v>15</v>
      </c>
      <c r="B180" s="369" t="s">
        <v>729</v>
      </c>
      <c r="C180" s="354" t="s">
        <v>474</v>
      </c>
      <c r="D180" s="350">
        <v>2</v>
      </c>
      <c r="E180" s="177">
        <v>3069</v>
      </c>
      <c r="F180" s="177">
        <v>5132</v>
      </c>
      <c r="G180" s="350" t="s">
        <v>728</v>
      </c>
      <c r="H180" s="355">
        <f>+F180-E180+1</f>
        <v>2064</v>
      </c>
      <c r="I180" s="356">
        <v>0</v>
      </c>
      <c r="J180" s="357">
        <v>100000</v>
      </c>
      <c r="K180" s="358">
        <f t="shared" ref="K180:K187" si="2">J180*H180</f>
        <v>206400000</v>
      </c>
      <c r="L180" s="209">
        <f t="shared" si="1"/>
        <v>4.8824336471590103E-2</v>
      </c>
      <c r="N180"/>
    </row>
    <row r="181" spans="1:14">
      <c r="A181" s="371">
        <v>16</v>
      </c>
      <c r="B181" s="369" t="s">
        <v>532</v>
      </c>
      <c r="C181" s="354" t="s">
        <v>474</v>
      </c>
      <c r="D181" s="350">
        <v>3</v>
      </c>
      <c r="E181" s="177">
        <v>5133</v>
      </c>
      <c r="F181" s="177">
        <v>6132</v>
      </c>
      <c r="G181" s="350" t="s">
        <v>728</v>
      </c>
      <c r="H181" s="355">
        <f t="shared" ref="H181:H187" si="3">+F181-E181+1</f>
        <v>1000</v>
      </c>
      <c r="I181" s="356">
        <v>0</v>
      </c>
      <c r="J181" s="357">
        <v>100000</v>
      </c>
      <c r="K181" s="358">
        <f t="shared" si="2"/>
        <v>100000000</v>
      </c>
      <c r="L181" s="209">
        <f t="shared" si="1"/>
        <v>2.3655201778871173E-2</v>
      </c>
      <c r="N181"/>
    </row>
    <row r="182" spans="1:14" ht="17.25" customHeight="1">
      <c r="A182" s="371">
        <v>17</v>
      </c>
      <c r="B182" s="369" t="s">
        <v>535</v>
      </c>
      <c r="C182" s="354" t="s">
        <v>474</v>
      </c>
      <c r="D182" s="350">
        <v>4</v>
      </c>
      <c r="E182" s="177">
        <v>6133</v>
      </c>
      <c r="F182" s="177">
        <v>8692</v>
      </c>
      <c r="G182" s="350" t="s">
        <v>728</v>
      </c>
      <c r="H182" s="355">
        <f t="shared" si="3"/>
        <v>2560</v>
      </c>
      <c r="I182" s="356">
        <v>0</v>
      </c>
      <c r="J182" s="357">
        <v>100000</v>
      </c>
      <c r="K182" s="358">
        <f t="shared" si="2"/>
        <v>256000000</v>
      </c>
      <c r="L182" s="209">
        <f t="shared" si="1"/>
        <v>6.0557316553910202E-2</v>
      </c>
      <c r="N182"/>
    </row>
    <row r="183" spans="1:14" ht="13.5" customHeight="1">
      <c r="A183" s="371">
        <v>18</v>
      </c>
      <c r="B183" s="369" t="s">
        <v>458</v>
      </c>
      <c r="C183" s="354" t="s">
        <v>474</v>
      </c>
      <c r="D183" s="350">
        <v>5</v>
      </c>
      <c r="E183" s="177">
        <v>8693</v>
      </c>
      <c r="F183" s="177">
        <v>10000</v>
      </c>
      <c r="G183" s="350" t="s">
        <v>728</v>
      </c>
      <c r="H183" s="355">
        <f t="shared" si="3"/>
        <v>1308</v>
      </c>
      <c r="I183" s="356">
        <v>0</v>
      </c>
      <c r="J183" s="357">
        <v>100000</v>
      </c>
      <c r="K183" s="358">
        <f t="shared" si="2"/>
        <v>130800000</v>
      </c>
      <c r="L183" s="209">
        <f t="shared" si="1"/>
        <v>3.0941003926763494E-2</v>
      </c>
      <c r="N183"/>
    </row>
    <row r="184" spans="1:14" ht="19.5" customHeight="1">
      <c r="A184" s="371">
        <v>19</v>
      </c>
      <c r="B184" s="369" t="s">
        <v>458</v>
      </c>
      <c r="C184" s="354" t="s">
        <v>471</v>
      </c>
      <c r="D184" s="350">
        <v>6</v>
      </c>
      <c r="E184" s="177">
        <v>1</v>
      </c>
      <c r="F184" s="177">
        <v>778</v>
      </c>
      <c r="G184" s="350" t="s">
        <v>728</v>
      </c>
      <c r="H184" s="355">
        <f t="shared" si="3"/>
        <v>778</v>
      </c>
      <c r="I184" s="356">
        <v>0</v>
      </c>
      <c r="J184" s="357">
        <v>100000</v>
      </c>
      <c r="K184" s="358">
        <f t="shared" si="2"/>
        <v>77800000</v>
      </c>
      <c r="L184" s="209">
        <f t="shared" si="1"/>
        <v>1.8403746983961772E-2</v>
      </c>
      <c r="N184"/>
    </row>
    <row r="185" spans="1:14" ht="18" customHeight="1">
      <c r="A185" s="371">
        <v>20</v>
      </c>
      <c r="B185" s="369" t="s">
        <v>730</v>
      </c>
      <c r="C185" s="354" t="s">
        <v>471</v>
      </c>
      <c r="D185" s="350">
        <v>7</v>
      </c>
      <c r="E185" s="177">
        <v>779</v>
      </c>
      <c r="F185" s="177">
        <v>1778</v>
      </c>
      <c r="G185" s="350" t="s">
        <v>728</v>
      </c>
      <c r="H185" s="355">
        <f t="shared" si="3"/>
        <v>1000</v>
      </c>
      <c r="I185" s="356">
        <v>0</v>
      </c>
      <c r="J185" s="357">
        <v>100000</v>
      </c>
      <c r="K185" s="358">
        <f t="shared" si="2"/>
        <v>100000000</v>
      </c>
      <c r="L185" s="209">
        <f t="shared" si="1"/>
        <v>2.3655201778871173E-2</v>
      </c>
      <c r="N185"/>
    </row>
    <row r="186" spans="1:14" ht="18.75" customHeight="1">
      <c r="A186" s="371">
        <v>21</v>
      </c>
      <c r="B186" s="369" t="s">
        <v>534</v>
      </c>
      <c r="C186" s="354" t="s">
        <v>471</v>
      </c>
      <c r="D186" s="350">
        <v>8</v>
      </c>
      <c r="E186" s="177">
        <v>1779</v>
      </c>
      <c r="F186" s="177">
        <v>5588</v>
      </c>
      <c r="G186" s="350" t="s">
        <v>728</v>
      </c>
      <c r="H186" s="355">
        <f t="shared" si="3"/>
        <v>3810</v>
      </c>
      <c r="I186" s="356">
        <v>0</v>
      </c>
      <c r="J186" s="357">
        <v>100000</v>
      </c>
      <c r="K186" s="358">
        <f t="shared" si="2"/>
        <v>381000000</v>
      </c>
      <c r="L186" s="209">
        <f t="shared" si="1"/>
        <v>9.0126318777499173E-2</v>
      </c>
      <c r="N186"/>
    </row>
    <row r="187" spans="1:14" ht="17.25" customHeight="1">
      <c r="A187" s="371">
        <v>22</v>
      </c>
      <c r="B187" s="370" t="s">
        <v>533</v>
      </c>
      <c r="C187" s="354" t="s">
        <v>471</v>
      </c>
      <c r="D187" s="350">
        <v>9</v>
      </c>
      <c r="E187" s="177">
        <v>5589</v>
      </c>
      <c r="F187" s="177">
        <v>9401</v>
      </c>
      <c r="G187" s="350" t="s">
        <v>728</v>
      </c>
      <c r="H187" s="355">
        <f t="shared" si="3"/>
        <v>3813</v>
      </c>
      <c r="I187" s="356">
        <v>0</v>
      </c>
      <c r="J187" s="357">
        <v>100000</v>
      </c>
      <c r="K187" s="358">
        <f t="shared" si="2"/>
        <v>381300000</v>
      </c>
      <c r="L187" s="209">
        <f t="shared" si="1"/>
        <v>9.019728438283578E-2</v>
      </c>
      <c r="N187"/>
    </row>
    <row r="188" spans="1:14">
      <c r="B188" s="408" t="s">
        <v>731</v>
      </c>
      <c r="C188" s="409"/>
      <c r="D188" s="409"/>
      <c r="E188" s="409"/>
      <c r="F188" s="409"/>
      <c r="G188" s="410"/>
      <c r="H188" s="359">
        <f>SUM(H60:H187)</f>
        <v>42274</v>
      </c>
      <c r="I188" s="360">
        <v>22873</v>
      </c>
      <c r="J188" s="361"/>
      <c r="K188" s="359">
        <f>SUM(K60:K187)</f>
        <v>4227400000</v>
      </c>
      <c r="L188" s="362">
        <f>SUM(L60:L187)</f>
        <v>0.99999999999999911</v>
      </c>
      <c r="N188"/>
    </row>
    <row r="189" spans="1:14">
      <c r="I189"/>
      <c r="J189"/>
      <c r="K189" s="289"/>
      <c r="N189"/>
    </row>
    <row r="190" spans="1:14">
      <c r="B190" s="363" t="s">
        <v>732</v>
      </c>
      <c r="C190" s="213" t="s">
        <v>6</v>
      </c>
      <c r="D190" s="213" t="s">
        <v>541</v>
      </c>
      <c r="I190"/>
      <c r="J190"/>
      <c r="N190"/>
    </row>
    <row r="191" spans="1:14">
      <c r="B191" s="305" t="s">
        <v>539</v>
      </c>
      <c r="C191" s="364">
        <v>22873</v>
      </c>
      <c r="D191" s="306">
        <f>C191/C193</f>
        <v>0.54106543028812037</v>
      </c>
      <c r="I191"/>
      <c r="J191"/>
      <c r="N191"/>
    </row>
    <row r="192" spans="1:14">
      <c r="B192" s="305" t="s">
        <v>540</v>
      </c>
      <c r="C192" s="307">
        <f>H188-C191</f>
        <v>19401</v>
      </c>
      <c r="D192" s="365">
        <f>C192/C193</f>
        <v>0.45893456971187963</v>
      </c>
      <c r="F192" s="289"/>
      <c r="I192"/>
      <c r="J192"/>
      <c r="N192"/>
    </row>
    <row r="193" spans="2:14">
      <c r="B193" s="308" t="s">
        <v>208</v>
      </c>
      <c r="C193" s="309">
        <f>SUM(C191:C192)</f>
        <v>42274</v>
      </c>
      <c r="D193" s="310">
        <v>0.99999999999999956</v>
      </c>
      <c r="I193"/>
      <c r="J193"/>
      <c r="N193"/>
    </row>
    <row r="194" spans="2:14" ht="5.0999999999999996" customHeight="1"/>
    <row r="195" spans="2:14" ht="6.6" customHeight="1"/>
    <row r="196" spans="2:14">
      <c r="B196" s="154" t="s">
        <v>420</v>
      </c>
      <c r="C196" s="154" t="s">
        <v>421</v>
      </c>
      <c r="D196" s="154"/>
      <c r="E196" s="154"/>
      <c r="F196" s="154"/>
      <c r="G196" s="154"/>
      <c r="H196" s="154"/>
      <c r="I196" s="203"/>
      <c r="J196" s="202"/>
    </row>
    <row r="197" spans="2:14" ht="7.35" customHeight="1"/>
    <row r="198" spans="2:14">
      <c r="B198" s="403" t="s">
        <v>422</v>
      </c>
      <c r="C198" s="403"/>
      <c r="D198" s="155" t="s">
        <v>700</v>
      </c>
      <c r="E198" s="155"/>
      <c r="F198" s="155"/>
      <c r="G198" s="155"/>
      <c r="H198" s="155"/>
      <c r="I198" s="206"/>
    </row>
    <row r="199" spans="2:14">
      <c r="B199" s="403" t="s">
        <v>424</v>
      </c>
      <c r="C199" s="404"/>
      <c r="D199" s="155" t="s">
        <v>702</v>
      </c>
      <c r="E199" s="155"/>
      <c r="F199" s="155"/>
      <c r="G199" s="155"/>
      <c r="H199" s="155"/>
      <c r="I199" s="206"/>
    </row>
    <row r="200" spans="2:14">
      <c r="B200" s="403" t="s">
        <v>383</v>
      </c>
      <c r="C200" s="404"/>
      <c r="D200" s="311" t="s">
        <v>705</v>
      </c>
      <c r="E200" s="155"/>
      <c r="F200" s="155"/>
      <c r="G200" s="155"/>
      <c r="H200" s="155"/>
      <c r="I200" s="206"/>
    </row>
    <row r="201" spans="2:14">
      <c r="B201" s="403" t="s">
        <v>423</v>
      </c>
      <c r="C201" s="404"/>
      <c r="D201" s="155" t="s">
        <v>703</v>
      </c>
      <c r="E201" s="155"/>
      <c r="F201" s="155"/>
      <c r="G201" s="155"/>
      <c r="H201" s="155"/>
      <c r="I201" s="206"/>
    </row>
    <row r="202" spans="2:14">
      <c r="B202" s="403" t="s">
        <v>386</v>
      </c>
      <c r="C202" s="404"/>
      <c r="D202" s="155" t="s">
        <v>704</v>
      </c>
      <c r="E202" s="155"/>
      <c r="F202" s="155"/>
      <c r="G202" s="155"/>
      <c r="H202" s="155"/>
      <c r="I202" s="206"/>
    </row>
    <row r="204" spans="2:14">
      <c r="B204" s="154" t="s">
        <v>425</v>
      </c>
      <c r="C204" s="154" t="s">
        <v>426</v>
      </c>
      <c r="D204" s="154"/>
      <c r="E204" s="154"/>
      <c r="F204" s="154"/>
      <c r="G204" s="154"/>
      <c r="H204" s="154"/>
      <c r="I204" s="203"/>
      <c r="J204" s="202"/>
    </row>
    <row r="205" spans="2:14" ht="9" customHeight="1"/>
    <row r="206" spans="2:14">
      <c r="B206" s="399" t="s">
        <v>372</v>
      </c>
      <c r="C206" s="399"/>
      <c r="D206" s="399" t="s">
        <v>373</v>
      </c>
      <c r="E206" s="399"/>
      <c r="F206" s="399"/>
      <c r="G206" s="399"/>
      <c r="H206" s="399"/>
    </row>
    <row r="207" spans="2:14">
      <c r="B207" s="397" t="s">
        <v>458</v>
      </c>
      <c r="C207" s="397"/>
      <c r="D207" s="397" t="s">
        <v>3</v>
      </c>
      <c r="E207" s="397"/>
      <c r="F207" s="397"/>
      <c r="G207" s="397"/>
      <c r="H207" s="397"/>
    </row>
    <row r="208" spans="2:14">
      <c r="B208" s="397" t="s">
        <v>459</v>
      </c>
      <c r="C208" s="397"/>
      <c r="D208" s="397" t="s">
        <v>4</v>
      </c>
      <c r="E208" s="397"/>
      <c r="F208" s="397"/>
      <c r="G208" s="397"/>
      <c r="H208" s="397"/>
    </row>
    <row r="209" spans="2:8">
      <c r="B209" s="397" t="s">
        <v>766</v>
      </c>
      <c r="C209" s="397"/>
      <c r="D209" s="397" t="s">
        <v>427</v>
      </c>
      <c r="E209" s="397"/>
      <c r="F209" s="397"/>
      <c r="G209" s="397"/>
      <c r="H209" s="397"/>
    </row>
    <row r="210" spans="2:8">
      <c r="B210" s="397" t="s">
        <v>466</v>
      </c>
      <c r="C210" s="397"/>
      <c r="D210" s="397" t="s">
        <v>371</v>
      </c>
      <c r="E210" s="397"/>
      <c r="F210" s="397"/>
      <c r="G210" s="397"/>
      <c r="H210" s="397"/>
    </row>
    <row r="211" spans="2:8">
      <c r="B211" s="396" t="s">
        <v>486</v>
      </c>
      <c r="C211" s="396"/>
      <c r="D211" s="181" t="s">
        <v>419</v>
      </c>
      <c r="E211" s="181"/>
      <c r="F211" s="181"/>
      <c r="G211" s="181"/>
      <c r="H211" s="181"/>
    </row>
  </sheetData>
  <mergeCells count="76">
    <mergeCell ref="A118:A125"/>
    <mergeCell ref="B118:B125"/>
    <mergeCell ref="A126:A132"/>
    <mergeCell ref="B126:B132"/>
    <mergeCell ref="A134:A178"/>
    <mergeCell ref="B134:B178"/>
    <mergeCell ref="A97:A100"/>
    <mergeCell ref="B97:B100"/>
    <mergeCell ref="A101:A109"/>
    <mergeCell ref="B101:B109"/>
    <mergeCell ref="A110:A117"/>
    <mergeCell ref="B110:B117"/>
    <mergeCell ref="A74:A82"/>
    <mergeCell ref="B74:B82"/>
    <mergeCell ref="A83:A90"/>
    <mergeCell ref="B83:B90"/>
    <mergeCell ref="A91:A96"/>
    <mergeCell ref="B91:B96"/>
    <mergeCell ref="A60:A62"/>
    <mergeCell ref="B60:B62"/>
    <mergeCell ref="A63:A69"/>
    <mergeCell ref="B63:B69"/>
    <mergeCell ref="A70:A73"/>
    <mergeCell ref="B70:B73"/>
    <mergeCell ref="B3:J3"/>
    <mergeCell ref="B4:J4"/>
    <mergeCell ref="D33:I33"/>
    <mergeCell ref="D34:I34"/>
    <mergeCell ref="D35:I35"/>
    <mergeCell ref="B20:J20"/>
    <mergeCell ref="B21:J21"/>
    <mergeCell ref="C28:I28"/>
    <mergeCell ref="B31:C31"/>
    <mergeCell ref="B33:C33"/>
    <mergeCell ref="B32:D32"/>
    <mergeCell ref="B34:C34"/>
    <mergeCell ref="B35:C35"/>
    <mergeCell ref="B36:C36"/>
    <mergeCell ref="D39:H39"/>
    <mergeCell ref="B202:C202"/>
    <mergeCell ref="B198:C198"/>
    <mergeCell ref="B199:C199"/>
    <mergeCell ref="B200:C200"/>
    <mergeCell ref="B37:C37"/>
    <mergeCell ref="B39:C39"/>
    <mergeCell ref="B55:C55"/>
    <mergeCell ref="B46:C46"/>
    <mergeCell ref="B201:C201"/>
    <mergeCell ref="B56:C56"/>
    <mergeCell ref="B188:G188"/>
    <mergeCell ref="B54:C54"/>
    <mergeCell ref="B53:C53"/>
    <mergeCell ref="B42:C42"/>
    <mergeCell ref="K20:K23"/>
    <mergeCell ref="B206:C206"/>
    <mergeCell ref="D206:H206"/>
    <mergeCell ref="B207:C207"/>
    <mergeCell ref="D207:H207"/>
    <mergeCell ref="B22:J22"/>
    <mergeCell ref="B23:J23"/>
    <mergeCell ref="B24:J27"/>
    <mergeCell ref="B49:J52"/>
    <mergeCell ref="D43:I43"/>
    <mergeCell ref="B40:C40"/>
    <mergeCell ref="D40:H40"/>
    <mergeCell ref="B44:C44"/>
    <mergeCell ref="B45:C45"/>
    <mergeCell ref="B43:C43"/>
    <mergeCell ref="D44:I44"/>
    <mergeCell ref="B211:C211"/>
    <mergeCell ref="B208:C208"/>
    <mergeCell ref="D208:H208"/>
    <mergeCell ref="B209:C209"/>
    <mergeCell ref="D209:H209"/>
    <mergeCell ref="B210:C210"/>
    <mergeCell ref="D210:H210"/>
  </mergeCells>
  <pageMargins left="0.70866141732283472" right="0.70866141732283472" top="1.7322834645669292" bottom="0.74803149606299213" header="0.31496062992125984" footer="0.31496062992125984"/>
  <pageSetup paperSize="9" scale="4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sheetPr>
  <dimension ref="B4:I70"/>
  <sheetViews>
    <sheetView showGridLines="0" topLeftCell="A47" zoomScale="102" zoomScaleNormal="102" workbookViewId="0">
      <selection activeCell="D25" sqref="D25"/>
    </sheetView>
  </sheetViews>
  <sheetFormatPr baseColWidth="10" defaultColWidth="10.7109375" defaultRowHeight="15"/>
  <cols>
    <col min="2" max="2" width="40.28515625" customWidth="1"/>
    <col min="3" max="3" width="14.7109375" style="28" customWidth="1"/>
    <col min="4" max="4" width="12.28515625" style="27" bestFit="1" customWidth="1"/>
    <col min="5" max="5" width="41.42578125" style="27" bestFit="1" customWidth="1"/>
    <col min="6" max="6" width="17.42578125" style="27" bestFit="1" customWidth="1"/>
    <col min="7" max="7" width="13.42578125" style="27" customWidth="1"/>
    <col min="8" max="8" width="15.28515625" bestFit="1" customWidth="1"/>
  </cols>
  <sheetData>
    <row r="4" spans="2:7">
      <c r="B4" s="436" t="s">
        <v>740</v>
      </c>
      <c r="C4" s="436"/>
      <c r="D4" s="436"/>
      <c r="E4" s="436"/>
      <c r="F4" s="436"/>
      <c r="G4" s="436"/>
    </row>
    <row r="5" spans="2:7">
      <c r="B5" s="436"/>
      <c r="C5" s="436"/>
      <c r="D5" s="436"/>
      <c r="E5" s="436"/>
      <c r="F5" s="436"/>
      <c r="G5" s="436"/>
    </row>
    <row r="6" spans="2:7">
      <c r="B6" s="436"/>
      <c r="C6" s="436"/>
      <c r="D6" s="436"/>
      <c r="E6" s="436"/>
      <c r="F6" s="436"/>
      <c r="G6" s="436"/>
    </row>
    <row r="7" spans="2:7" ht="15.75" thickBot="1"/>
    <row r="8" spans="2:7" ht="15" customHeight="1">
      <c r="B8" s="434" t="s">
        <v>7</v>
      </c>
      <c r="C8" s="437" t="s">
        <v>47</v>
      </c>
      <c r="D8" s="434" t="s">
        <v>343</v>
      </c>
      <c r="E8" s="434" t="s">
        <v>9</v>
      </c>
      <c r="F8" s="434" t="s">
        <v>8</v>
      </c>
      <c r="G8" s="434" t="s">
        <v>343</v>
      </c>
    </row>
    <row r="9" spans="2:7" ht="15.75" thickBot="1">
      <c r="B9" s="435"/>
      <c r="C9" s="438"/>
      <c r="D9" s="435"/>
      <c r="E9" s="435"/>
      <c r="F9" s="435"/>
      <c r="G9" s="435"/>
    </row>
    <row r="10" spans="2:7">
      <c r="B10" s="251" t="s">
        <v>10</v>
      </c>
      <c r="C10" s="252"/>
      <c r="D10" s="121"/>
      <c r="E10" s="253" t="s">
        <v>618</v>
      </c>
      <c r="F10" s="121"/>
      <c r="G10" s="121"/>
    </row>
    <row r="11" spans="2:7">
      <c r="B11" s="254" t="s">
        <v>44</v>
      </c>
      <c r="C11" s="122">
        <f>+SUM(C12:C14)</f>
        <v>188817264</v>
      </c>
      <c r="D11" s="122">
        <f>+SUM(D12:D14)</f>
        <v>257852899</v>
      </c>
      <c r="E11" s="255" t="s">
        <v>16</v>
      </c>
      <c r="F11" s="122">
        <f>+SUM(F12:F14)</f>
        <v>134171061.443</v>
      </c>
      <c r="G11" s="122">
        <f>+SUM(G12:G14)</f>
        <v>42106278.002000004</v>
      </c>
    </row>
    <row r="12" spans="2:7">
      <c r="B12" s="256" t="s">
        <v>11</v>
      </c>
      <c r="C12" s="123">
        <v>0</v>
      </c>
      <c r="D12" s="123">
        <v>0</v>
      </c>
      <c r="E12" s="257" t="s">
        <v>329</v>
      </c>
      <c r="F12" s="123">
        <f>+'Anexo 5i-5m'!C102</f>
        <v>96082272</v>
      </c>
      <c r="G12" s="123">
        <f>+'Anexo 5i-5m'!D102</f>
        <v>0</v>
      </c>
    </row>
    <row r="13" spans="2:7">
      <c r="B13" s="256" t="s">
        <v>12</v>
      </c>
      <c r="C13" s="123">
        <f>+'Anexo 5d-5h'!C25</f>
        <v>188817264</v>
      </c>
      <c r="D13" s="123">
        <f>+'Anexo 5d-5h'!D25</f>
        <v>257852899</v>
      </c>
      <c r="E13" s="257" t="s">
        <v>323</v>
      </c>
      <c r="F13" s="123">
        <f>+'Anexo 5i-5m'!C97</f>
        <v>38088789.443000004</v>
      </c>
      <c r="G13" s="123">
        <f>+'Anexo 5i-5m'!D97</f>
        <v>37840520.002000004</v>
      </c>
    </row>
    <row r="14" spans="2:7" ht="15" customHeight="1">
      <c r="B14" s="256"/>
      <c r="C14" s="123"/>
      <c r="D14" s="124"/>
      <c r="E14" s="257" t="s">
        <v>590</v>
      </c>
      <c r="F14" s="242">
        <f>+'Anexo 5n-5r'!C18</f>
        <v>0</v>
      </c>
      <c r="G14" s="242">
        <f>+'Anexo 5n-5r'!D18</f>
        <v>4265758</v>
      </c>
    </row>
    <row r="15" spans="2:7">
      <c r="B15" s="254" t="s">
        <v>15</v>
      </c>
      <c r="C15" s="122">
        <f>+SUM(C16:C17)</f>
        <v>1081467450</v>
      </c>
      <c r="D15" s="122">
        <f>+SUM(D16:D17)</f>
        <v>1225897849</v>
      </c>
      <c r="E15" s="127"/>
      <c r="F15" s="124"/>
      <c r="G15" s="124"/>
    </row>
    <row r="16" spans="2:7">
      <c r="B16" s="256" t="s">
        <v>13</v>
      </c>
      <c r="C16" s="123">
        <v>862527772</v>
      </c>
      <c r="D16" s="123">
        <v>397323437</v>
      </c>
      <c r="E16" s="255" t="s">
        <v>17</v>
      </c>
      <c r="F16" s="122">
        <f>+SUM(F17:F18)</f>
        <v>201236991</v>
      </c>
      <c r="G16" s="122">
        <f>+SUM(G17:G18)</f>
        <v>201380822</v>
      </c>
    </row>
    <row r="17" spans="2:7">
      <c r="B17" s="256" t="s">
        <v>14</v>
      </c>
      <c r="C17" s="123">
        <v>218939678</v>
      </c>
      <c r="D17" s="123">
        <v>828574412</v>
      </c>
      <c r="E17" s="257" t="s">
        <v>609</v>
      </c>
      <c r="F17" s="123">
        <f>+'Anexo 5i-5m'!C44</f>
        <v>200000000</v>
      </c>
      <c r="G17" s="123">
        <f>+'Anexo 5i-5m'!D44</f>
        <v>200000000</v>
      </c>
    </row>
    <row r="18" spans="2:7">
      <c r="B18" s="127"/>
      <c r="C18" s="124"/>
      <c r="D18" s="124"/>
      <c r="E18" s="257" t="s">
        <v>18</v>
      </c>
      <c r="F18" s="123">
        <f>+'Anexo 5i-5m'!C49</f>
        <v>1236991</v>
      </c>
      <c r="G18" s="123">
        <f>+'Anexo 5i-5m'!D49</f>
        <v>1380822</v>
      </c>
    </row>
    <row r="19" spans="2:7">
      <c r="B19" s="254" t="s">
        <v>19</v>
      </c>
      <c r="C19" s="122">
        <f>+SUM(C20:C22)</f>
        <v>756639445.1825</v>
      </c>
      <c r="D19" s="122">
        <f>+SUM(D20:D22)</f>
        <v>850938288.22249997</v>
      </c>
      <c r="E19" s="127"/>
      <c r="F19" s="124"/>
      <c r="G19" s="124"/>
    </row>
    <row r="20" spans="2:7">
      <c r="B20" s="256" t="s">
        <v>20</v>
      </c>
      <c r="C20" s="123">
        <f>+'Anexo 5d-5h'!C112</f>
        <v>648158702.1825</v>
      </c>
      <c r="D20" s="123">
        <f>+'Anexo 5d-5h'!D112</f>
        <v>618176678.22249997</v>
      </c>
      <c r="E20" s="255" t="s">
        <v>23</v>
      </c>
      <c r="F20" s="122">
        <f>+SUM(F21:F24)</f>
        <v>9524556</v>
      </c>
      <c r="G20" s="122">
        <f>+SUM(G21:G24)</f>
        <v>5043956</v>
      </c>
    </row>
    <row r="21" spans="2:7">
      <c r="B21" s="256" t="s">
        <v>21</v>
      </c>
      <c r="C21" s="123">
        <f>+'Anexo 5d-5h'!C53</f>
        <v>41577800</v>
      </c>
      <c r="D21" s="123">
        <f>+'Anexo 5d-5h'!D53</f>
        <v>46258173</v>
      </c>
      <c r="E21" s="257" t="s">
        <v>24</v>
      </c>
      <c r="F21" s="123">
        <v>0</v>
      </c>
      <c r="G21" s="123">
        <v>0</v>
      </c>
    </row>
    <row r="22" spans="2:7">
      <c r="B22" s="256" t="s">
        <v>22</v>
      </c>
      <c r="C22" s="123">
        <f>+'Anexo 5d-5h'!C60</f>
        <v>66902943</v>
      </c>
      <c r="D22" s="123">
        <f>+'Anexo 5d-5h'!D60</f>
        <v>186503437</v>
      </c>
      <c r="E22" s="257" t="s">
        <v>25</v>
      </c>
      <c r="F22" s="123">
        <v>9524556</v>
      </c>
      <c r="G22" s="123">
        <v>5043956</v>
      </c>
    </row>
    <row r="23" spans="2:7">
      <c r="B23" s="256"/>
      <c r="C23" s="260"/>
      <c r="D23" s="127"/>
      <c r="E23" s="257" t="s">
        <v>26</v>
      </c>
      <c r="F23" s="123">
        <v>0</v>
      </c>
      <c r="G23" s="123">
        <v>0</v>
      </c>
    </row>
    <row r="24" spans="2:7">
      <c r="B24" s="254" t="s">
        <v>607</v>
      </c>
      <c r="C24" s="122">
        <f>+C25</f>
        <v>135528018</v>
      </c>
      <c r="D24" s="122">
        <f>+D25</f>
        <v>54349546</v>
      </c>
      <c r="E24" s="257"/>
      <c r="F24" s="124"/>
      <c r="G24" s="124"/>
    </row>
    <row r="25" spans="2:7">
      <c r="B25" s="256" t="s">
        <v>27</v>
      </c>
      <c r="C25" s="123">
        <f>+'Anexo 5i-5m'!C29</f>
        <v>135528018</v>
      </c>
      <c r="D25" s="123">
        <f>+'Anexo 5i-5m'!D29</f>
        <v>54349546</v>
      </c>
      <c r="E25" s="255" t="s">
        <v>28</v>
      </c>
      <c r="F25" s="122">
        <f>+SUM(F26:F28)</f>
        <v>8726036</v>
      </c>
      <c r="G25" s="122">
        <f>+SUM(G26:G28)</f>
        <v>19910988</v>
      </c>
    </row>
    <row r="26" spans="2:7">
      <c r="B26" s="254"/>
      <c r="C26" s="260"/>
      <c r="D26" s="127"/>
      <c r="E26" s="257" t="s">
        <v>29</v>
      </c>
      <c r="F26" s="123">
        <f>+'Anexo 5n-5r'!C32</f>
        <v>0</v>
      </c>
      <c r="G26" s="123">
        <f>+'Anexo 5n-5r'!D32</f>
        <v>0</v>
      </c>
    </row>
    <row r="27" spans="2:7">
      <c r="B27" s="254"/>
      <c r="C27" s="260"/>
      <c r="D27" s="127"/>
      <c r="E27" s="257" t="s">
        <v>30</v>
      </c>
      <c r="F27" s="123">
        <f>+'Anexo 5n-5r'!C44</f>
        <v>8726036</v>
      </c>
      <c r="G27" s="123">
        <f>+'Anexo 5n-5r'!D44</f>
        <v>19910988</v>
      </c>
    </row>
    <row r="28" spans="2:7">
      <c r="B28" s="254"/>
      <c r="C28" s="260"/>
      <c r="D28" s="127"/>
      <c r="E28" s="257"/>
      <c r="F28" s="123"/>
      <c r="G28" s="124"/>
    </row>
    <row r="29" spans="2:7">
      <c r="B29" s="254" t="s">
        <v>31</v>
      </c>
      <c r="C29" s="122">
        <f>+C25+C19+C15+C11</f>
        <v>2162452177.1824999</v>
      </c>
      <c r="D29" s="122">
        <f>+D25+D19+D15+D11</f>
        <v>2389038582.2224998</v>
      </c>
      <c r="E29" s="255" t="s">
        <v>32</v>
      </c>
      <c r="F29" s="122">
        <f>+F11+F16+F20+F25</f>
        <v>353658644.44300002</v>
      </c>
      <c r="G29" s="122">
        <f>+G11+G16+G20+G25</f>
        <v>268442044.00199997</v>
      </c>
    </row>
    <row r="30" spans="2:7">
      <c r="B30" s="256"/>
      <c r="C30" s="258"/>
      <c r="D30" s="257"/>
      <c r="E30" s="256"/>
      <c r="F30" s="124"/>
      <c r="G30" s="124"/>
    </row>
    <row r="31" spans="2:7">
      <c r="B31" s="254" t="s">
        <v>33</v>
      </c>
      <c r="C31" s="123"/>
      <c r="D31" s="124"/>
      <c r="E31" s="254" t="s">
        <v>608</v>
      </c>
      <c r="F31" s="225"/>
      <c r="G31" s="124"/>
    </row>
    <row r="32" spans="2:7">
      <c r="B32" s="254" t="s">
        <v>605</v>
      </c>
      <c r="C32" s="122">
        <f>+SUM(C33:C36)</f>
        <v>1371230443</v>
      </c>
      <c r="D32" s="122">
        <f>+SUM(D33:D36)</f>
        <v>1093351399</v>
      </c>
      <c r="E32" s="255" t="s">
        <v>17</v>
      </c>
      <c r="F32" s="122">
        <f>+F33</f>
        <v>0</v>
      </c>
      <c r="G32" s="122">
        <f>+G33</f>
        <v>0</v>
      </c>
    </row>
    <row r="33" spans="2:8">
      <c r="B33" s="261" t="s">
        <v>603</v>
      </c>
      <c r="C33" s="123">
        <v>179760</v>
      </c>
      <c r="D33" s="123">
        <v>177196</v>
      </c>
      <c r="E33" s="257" t="s">
        <v>609</v>
      </c>
      <c r="F33" s="123">
        <f>+'Anexo 5i-5m'!C59</f>
        <v>0</v>
      </c>
      <c r="G33" s="123">
        <v>0</v>
      </c>
    </row>
    <row r="34" spans="2:8">
      <c r="B34" s="261" t="s">
        <v>604</v>
      </c>
      <c r="C34" s="123">
        <v>368050683</v>
      </c>
      <c r="D34" s="123">
        <v>90174203</v>
      </c>
      <c r="E34" s="257"/>
      <c r="F34" s="123"/>
      <c r="G34" s="123"/>
    </row>
    <row r="35" spans="2:8">
      <c r="B35" s="256" t="s">
        <v>606</v>
      </c>
      <c r="C35" s="123">
        <f>+'Anexo 5d-5h'!E42</f>
        <v>1003000000</v>
      </c>
      <c r="D35" s="123">
        <f>+'Anexo 5d-5h'!E43</f>
        <v>1003000000</v>
      </c>
      <c r="E35" s="257" t="s">
        <v>326</v>
      </c>
      <c r="F35" s="125">
        <f>+'Anexo 5n-5r'!C10</f>
        <v>42193944</v>
      </c>
      <c r="G35" s="125">
        <f>+'Anexo 5n-5r'!D10</f>
        <v>64807127</v>
      </c>
    </row>
    <row r="36" spans="2:8" ht="18.75" customHeight="1">
      <c r="B36" s="256" t="s">
        <v>34</v>
      </c>
      <c r="C36" s="123">
        <v>0</v>
      </c>
      <c r="D36" s="123">
        <v>0</v>
      </c>
      <c r="E36" s="257"/>
      <c r="F36" s="127"/>
      <c r="G36" s="127"/>
    </row>
    <row r="37" spans="2:8">
      <c r="B37" s="259"/>
      <c r="C37" s="260"/>
      <c r="D37" s="127"/>
      <c r="E37" s="255" t="s">
        <v>35</v>
      </c>
      <c r="F37" s="269">
        <f>+F32+F35</f>
        <v>42193944</v>
      </c>
      <c r="G37" s="269">
        <f>+G32+G35</f>
        <v>64807127</v>
      </c>
    </row>
    <row r="38" spans="2:8">
      <c r="B38" s="254" t="s">
        <v>602</v>
      </c>
      <c r="C38" s="260"/>
      <c r="D38" s="127"/>
      <c r="E38" s="255"/>
      <c r="F38" s="123"/>
      <c r="G38" s="123"/>
    </row>
    <row r="39" spans="2:8">
      <c r="B39" s="256"/>
      <c r="C39" s="260"/>
      <c r="D39" s="127"/>
      <c r="E39" s="255"/>
      <c r="F39" s="124"/>
      <c r="G39" s="124"/>
    </row>
    <row r="40" spans="2:8">
      <c r="B40" s="254" t="s">
        <v>615</v>
      </c>
      <c r="C40" s="123">
        <f>+'Anexo 5d-5h'!G125</f>
        <v>266801592</v>
      </c>
      <c r="D40" s="123">
        <f>+'Anexo 5d-5h'!G126</f>
        <v>266801592</v>
      </c>
      <c r="E40" s="255" t="s">
        <v>37</v>
      </c>
      <c r="F40" s="122">
        <f>+F29+F37</f>
        <v>395852588.44300002</v>
      </c>
      <c r="G40" s="122">
        <f>+G29+G37</f>
        <v>333249171.00199997</v>
      </c>
    </row>
    <row r="41" spans="2:8">
      <c r="B41" s="256" t="s">
        <v>36</v>
      </c>
      <c r="C41" s="123">
        <f>-'Anexo 5d-5h'!L125-9</f>
        <v>-233498862.30203366</v>
      </c>
      <c r="D41" s="123">
        <f>-'Anexo 5d-5h'!L126</f>
        <v>-233498853.30203366</v>
      </c>
      <c r="E41" s="255"/>
      <c r="F41" s="126"/>
      <c r="G41" s="126"/>
    </row>
    <row r="42" spans="2:8">
      <c r="B42" s="256"/>
      <c r="C42" s="260"/>
      <c r="D42" s="127"/>
      <c r="E42" s="255" t="s">
        <v>38</v>
      </c>
      <c r="F42" s="122"/>
      <c r="G42" s="122"/>
    </row>
    <row r="43" spans="2:8">
      <c r="B43" s="256"/>
      <c r="C43" s="260"/>
      <c r="D43" s="127"/>
      <c r="E43" s="257" t="s">
        <v>41</v>
      </c>
      <c r="F43" s="123">
        <v>4227400000</v>
      </c>
      <c r="G43" s="123">
        <v>4227400000</v>
      </c>
    </row>
    <row r="44" spans="2:8">
      <c r="B44" s="270" t="s">
        <v>617</v>
      </c>
      <c r="C44" s="122">
        <f>+'Anexo 5i-5m'!F9</f>
        <v>147507779</v>
      </c>
      <c r="D44" s="122">
        <f>+'Anexo 5i-5m'!F10</f>
        <v>147507779</v>
      </c>
      <c r="E44" s="257" t="s">
        <v>616</v>
      </c>
      <c r="F44" s="123">
        <v>10015298</v>
      </c>
      <c r="G44" s="123">
        <v>10015298</v>
      </c>
    </row>
    <row r="45" spans="2:8">
      <c r="B45" s="270"/>
      <c r="C45" s="123"/>
      <c r="D45" s="124"/>
      <c r="E45" s="257" t="s">
        <v>370</v>
      </c>
      <c r="F45" s="123">
        <v>14010438</v>
      </c>
      <c r="G45" s="123">
        <v>14010438</v>
      </c>
      <c r="H45" s="13"/>
    </row>
    <row r="46" spans="2:8">
      <c r="B46" s="270" t="s">
        <v>557</v>
      </c>
      <c r="C46" s="122">
        <f>+C47</f>
        <v>311618073</v>
      </c>
      <c r="D46" s="122">
        <f>+D47</f>
        <v>311618073</v>
      </c>
      <c r="E46" s="257" t="s">
        <v>572</v>
      </c>
      <c r="F46" s="123">
        <v>803000000</v>
      </c>
      <c r="G46" s="123">
        <v>803000000</v>
      </c>
      <c r="H46" s="13"/>
    </row>
    <row r="47" spans="2:8">
      <c r="B47" s="271" t="s">
        <v>619</v>
      </c>
      <c r="C47" s="123">
        <f>+'Anexo 5i-5m'!C36</f>
        <v>311618073</v>
      </c>
      <c r="D47" s="123">
        <f>+'Anexo 5i-5m'!D36</f>
        <v>311618073</v>
      </c>
      <c r="E47" s="255" t="s">
        <v>369</v>
      </c>
      <c r="F47" s="122">
        <f>+F48+F49+F50</f>
        <v>214652267</v>
      </c>
      <c r="G47" s="122">
        <f>+G48+G49+G50</f>
        <v>214652267</v>
      </c>
    </row>
    <row r="48" spans="2:8">
      <c r="B48" s="272"/>
      <c r="C48" s="123"/>
      <c r="D48" s="124"/>
      <c r="E48" s="257" t="s">
        <v>139</v>
      </c>
      <c r="F48" s="123">
        <v>110118857</v>
      </c>
      <c r="G48" s="123">
        <v>110118857</v>
      </c>
    </row>
    <row r="49" spans="2:9">
      <c r="B49" s="256"/>
      <c r="C49" s="123"/>
      <c r="D49" s="123"/>
      <c r="E49" s="257" t="s">
        <v>42</v>
      </c>
      <c r="F49" s="123">
        <v>93691608</v>
      </c>
      <c r="G49" s="123">
        <v>93691608</v>
      </c>
    </row>
    <row r="50" spans="2:9">
      <c r="B50" s="256"/>
      <c r="C50" s="123"/>
      <c r="D50" s="123"/>
      <c r="E50" s="257" t="s">
        <v>347</v>
      </c>
      <c r="F50" s="123">
        <v>10841802</v>
      </c>
      <c r="G50" s="123">
        <v>10841802</v>
      </c>
    </row>
    <row r="51" spans="2:9">
      <c r="B51" s="256"/>
      <c r="C51" s="123"/>
      <c r="D51" s="123"/>
      <c r="E51" s="257"/>
      <c r="F51" s="122">
        <f>+F52+F53</f>
        <v>-1638819389</v>
      </c>
      <c r="G51" s="122">
        <f>+G52+G53</f>
        <v>-1627508602</v>
      </c>
      <c r="H51" s="13"/>
    </row>
    <row r="52" spans="2:9">
      <c r="B52" s="256"/>
      <c r="C52" s="123"/>
      <c r="D52" s="123"/>
      <c r="E52" s="257" t="s">
        <v>258</v>
      </c>
      <c r="F52" s="123">
        <v>-1627508588</v>
      </c>
      <c r="G52" s="123">
        <v>-1543712172</v>
      </c>
      <c r="H52" s="13"/>
    </row>
    <row r="53" spans="2:9">
      <c r="B53" s="256"/>
      <c r="C53" s="123"/>
      <c r="D53" s="123"/>
      <c r="E53" s="257" t="s">
        <v>348</v>
      </c>
      <c r="F53" s="123">
        <v>-11310801</v>
      </c>
      <c r="G53" s="123">
        <v>-83796430</v>
      </c>
      <c r="H53" s="13"/>
    </row>
    <row r="54" spans="2:9">
      <c r="B54" s="256"/>
      <c r="C54" s="123"/>
      <c r="D54" s="124"/>
      <c r="E54" s="127"/>
      <c r="F54" s="127"/>
      <c r="G54" s="127"/>
      <c r="H54" s="19"/>
    </row>
    <row r="55" spans="2:9" ht="15.75" thickBot="1">
      <c r="B55" s="254" t="s">
        <v>40</v>
      </c>
      <c r="C55" s="122">
        <f>+C32+C40+C41+C44+C46</f>
        <v>1863659024.6979663</v>
      </c>
      <c r="D55" s="122">
        <f>+D32+D40+D41+D44+D46</f>
        <v>1585779989.6979663</v>
      </c>
      <c r="E55" s="255" t="s">
        <v>318</v>
      </c>
      <c r="F55" s="273">
        <f>+F51+F47+F46+F45+F44+F43</f>
        <v>3630258614</v>
      </c>
      <c r="G55" s="273">
        <f>+G51+G47+G46+G45+G44+G43</f>
        <v>3641569401</v>
      </c>
      <c r="H55" s="19"/>
    </row>
    <row r="56" spans="2:9">
      <c r="B56" s="445" t="s">
        <v>45</v>
      </c>
      <c r="C56" s="447">
        <f>+C29+C55</f>
        <v>4026111201.8804665</v>
      </c>
      <c r="D56" s="447">
        <f>+D29+D55</f>
        <v>3974818571.9204664</v>
      </c>
      <c r="E56" s="449" t="s">
        <v>43</v>
      </c>
      <c r="F56" s="451">
        <f>+F40+F55</f>
        <v>4026111202.4429998</v>
      </c>
      <c r="G56" s="451">
        <f>+G40+G55</f>
        <v>3974818572.0019999</v>
      </c>
      <c r="H56" s="13"/>
    </row>
    <row r="57" spans="2:9" ht="15.75" thickBot="1">
      <c r="B57" s="446"/>
      <c r="C57" s="448"/>
      <c r="D57" s="448"/>
      <c r="E57" s="450"/>
      <c r="F57" s="452"/>
      <c r="G57" s="452"/>
      <c r="H57" s="13"/>
      <c r="I57" s="13"/>
    </row>
    <row r="58" spans="2:9">
      <c r="E58" s="28"/>
      <c r="F58" s="28"/>
      <c r="H58" s="13"/>
    </row>
    <row r="59" spans="2:9" ht="15.75" thickBot="1">
      <c r="H59" s="13"/>
    </row>
    <row r="60" spans="2:9" ht="15" customHeight="1">
      <c r="B60" s="453"/>
      <c r="C60" s="455" t="s">
        <v>8</v>
      </c>
      <c r="D60" s="441" t="s">
        <v>46</v>
      </c>
      <c r="E60" s="439"/>
      <c r="F60" s="441" t="s">
        <v>8</v>
      </c>
      <c r="G60" s="443" t="s">
        <v>46</v>
      </c>
    </row>
    <row r="61" spans="2:9">
      <c r="B61" s="454"/>
      <c r="C61" s="456"/>
      <c r="D61" s="442"/>
      <c r="E61" s="440"/>
      <c r="F61" s="442"/>
      <c r="G61" s="444"/>
    </row>
    <row r="62" spans="2:9">
      <c r="B62" s="291" t="s">
        <v>330</v>
      </c>
      <c r="C62" s="137">
        <f>SUM(C63:C67)</f>
        <v>0</v>
      </c>
      <c r="D62" s="137">
        <f>SUM(D63:D67)</f>
        <v>288138806.05230004</v>
      </c>
      <c r="E62" s="29" t="s">
        <v>331</v>
      </c>
      <c r="F62" s="137">
        <f>SUM(F64:F67)</f>
        <v>0</v>
      </c>
      <c r="G62" s="137">
        <f>SUM(G64:G67)</f>
        <v>288138806.05229998</v>
      </c>
    </row>
    <row r="63" spans="2:9">
      <c r="B63" s="314" t="s">
        <v>684</v>
      </c>
      <c r="C63" s="315"/>
      <c r="D63" s="315">
        <v>39297497</v>
      </c>
      <c r="E63" s="29"/>
      <c r="F63" s="137"/>
      <c r="G63" s="137"/>
    </row>
    <row r="64" spans="2:9">
      <c r="B64" s="292" t="s">
        <v>652</v>
      </c>
      <c r="C64" s="316"/>
      <c r="D64" s="316">
        <v>497866</v>
      </c>
      <c r="E64" s="293" t="s">
        <v>574</v>
      </c>
      <c r="F64" s="137">
        <f>SUM(C64:C67)</f>
        <v>0</v>
      </c>
      <c r="G64" s="137">
        <f>SUM(D64:D67)</f>
        <v>248841309.05230001</v>
      </c>
    </row>
    <row r="65" spans="2:8">
      <c r="B65" s="292" t="s">
        <v>687</v>
      </c>
      <c r="C65" s="316"/>
      <c r="D65" s="316">
        <v>42464466</v>
      </c>
      <c r="E65" s="293"/>
      <c r="F65" s="137"/>
      <c r="G65" s="137"/>
    </row>
    <row r="66" spans="2:8">
      <c r="B66" s="292" t="s">
        <v>688</v>
      </c>
      <c r="C66" s="316"/>
      <c r="D66" s="316">
        <v>205871640.82640001</v>
      </c>
      <c r="E66" s="293"/>
      <c r="F66" s="137"/>
      <c r="G66" s="137"/>
    </row>
    <row r="67" spans="2:8" ht="15.75" thickBot="1">
      <c r="B67" s="292" t="s">
        <v>651</v>
      </c>
      <c r="C67" s="317"/>
      <c r="D67" s="317">
        <v>7336.2259000000004</v>
      </c>
      <c r="E67" s="293" t="s">
        <v>575</v>
      </c>
      <c r="F67" s="137"/>
      <c r="G67" s="137">
        <v>39297497</v>
      </c>
    </row>
    <row r="70" spans="2:8">
      <c r="B70" s="433" t="s">
        <v>377</v>
      </c>
      <c r="C70" s="433"/>
      <c r="D70" s="433"/>
      <c r="E70" s="433"/>
      <c r="F70" s="433"/>
      <c r="G70" s="433"/>
      <c r="H70" s="165"/>
    </row>
  </sheetData>
  <mergeCells count="20">
    <mergeCell ref="B4:G6"/>
    <mergeCell ref="B8:B9"/>
    <mergeCell ref="C8:C9"/>
    <mergeCell ref="E60:E61"/>
    <mergeCell ref="F60:F61"/>
    <mergeCell ref="G60:G61"/>
    <mergeCell ref="B56:B57"/>
    <mergeCell ref="C56:C57"/>
    <mergeCell ref="D56:D57"/>
    <mergeCell ref="E56:E57"/>
    <mergeCell ref="F56:F57"/>
    <mergeCell ref="G56:G57"/>
    <mergeCell ref="B60:B61"/>
    <mergeCell ref="C60:C61"/>
    <mergeCell ref="D60:D61"/>
    <mergeCell ref="B70:G70"/>
    <mergeCell ref="D8:D9"/>
    <mergeCell ref="E8:E9"/>
    <mergeCell ref="F8:F9"/>
    <mergeCell ref="G8:G9"/>
  </mergeCells>
  <pageMargins left="0.70866141732283472" right="0.70866141732283472" top="0.74803149606299213" bottom="0.74803149606299213" header="0.31496062992125984" footer="0.31496062992125984"/>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B4:G50"/>
  <sheetViews>
    <sheetView showGridLines="0" topLeftCell="A27" zoomScale="102" zoomScaleNormal="102" workbookViewId="0">
      <selection activeCell="F46" sqref="F46"/>
    </sheetView>
  </sheetViews>
  <sheetFormatPr baseColWidth="10" defaultColWidth="10.7109375" defaultRowHeight="15"/>
  <cols>
    <col min="2" max="2" width="47" bestFit="1" customWidth="1"/>
    <col min="3" max="3" width="16.7109375" customWidth="1"/>
    <col min="4" max="4" width="23.42578125" customWidth="1"/>
    <col min="6" max="6" width="12.7109375" bestFit="1" customWidth="1"/>
    <col min="8" max="8" width="17.28515625" customWidth="1"/>
  </cols>
  <sheetData>
    <row r="4" spans="2:5">
      <c r="B4" s="457" t="s">
        <v>742</v>
      </c>
      <c r="C4" s="457"/>
      <c r="D4" s="457"/>
    </row>
    <row r="5" spans="2:5">
      <c r="B5" s="457"/>
      <c r="C5" s="457"/>
      <c r="D5" s="457"/>
    </row>
    <row r="7" spans="2:5" ht="22.5">
      <c r="B7" s="199"/>
      <c r="C7" s="200" t="s">
        <v>47</v>
      </c>
      <c r="D7" s="194" t="s">
        <v>48</v>
      </c>
    </row>
    <row r="8" spans="2:5">
      <c r="B8" s="109" t="s">
        <v>49</v>
      </c>
      <c r="C8" s="110">
        <f>+SUM(C9:C16)</f>
        <v>589076010</v>
      </c>
      <c r="D8" s="110">
        <f>+SUM(D9:D16)</f>
        <v>155447461</v>
      </c>
    </row>
    <row r="9" spans="2:5">
      <c r="B9" s="111" t="s">
        <v>50</v>
      </c>
      <c r="C9" s="115"/>
      <c r="D9" s="115"/>
    </row>
    <row r="10" spans="2:5">
      <c r="B10" s="112" t="s">
        <v>51</v>
      </c>
      <c r="C10" s="113">
        <v>0</v>
      </c>
      <c r="D10" s="113">
        <v>0</v>
      </c>
    </row>
    <row r="11" spans="2:5">
      <c r="B11" s="112" t="s">
        <v>52</v>
      </c>
      <c r="C11" s="113">
        <v>0</v>
      </c>
      <c r="D11" s="113">
        <v>6339387</v>
      </c>
    </row>
    <row r="12" spans="2:5">
      <c r="B12" s="111" t="s">
        <v>53</v>
      </c>
      <c r="C12" s="115"/>
      <c r="D12" s="115"/>
    </row>
    <row r="13" spans="2:5">
      <c r="B13" s="112" t="s">
        <v>54</v>
      </c>
      <c r="C13" s="113">
        <v>4657219</v>
      </c>
      <c r="D13" s="113">
        <v>1353191</v>
      </c>
    </row>
    <row r="14" spans="2:5">
      <c r="B14" s="112" t="s">
        <v>55</v>
      </c>
      <c r="C14" s="113">
        <v>124593125</v>
      </c>
      <c r="D14" s="113">
        <v>37731920</v>
      </c>
    </row>
    <row r="15" spans="2:5">
      <c r="B15" s="114" t="s">
        <v>56</v>
      </c>
      <c r="C15" s="113">
        <v>298600157</v>
      </c>
      <c r="D15" s="113">
        <v>8070846</v>
      </c>
    </row>
    <row r="16" spans="2:5">
      <c r="B16" s="114" t="s">
        <v>57</v>
      </c>
      <c r="C16" s="113">
        <f>+'Anexo 5s-5w'!C42</f>
        <v>161225509</v>
      </c>
      <c r="D16" s="113">
        <f>+'Anexo 5s-5w'!D42</f>
        <v>101952117</v>
      </c>
      <c r="E16" s="13"/>
    </row>
    <row r="17" spans="2:6">
      <c r="B17" s="109" t="s">
        <v>58</v>
      </c>
      <c r="C17" s="110">
        <f>-SUM(C18:C20)</f>
        <v>-84914261</v>
      </c>
      <c r="D17" s="110">
        <f>-SUM(D18:D20)</f>
        <v>-24619963</v>
      </c>
    </row>
    <row r="18" spans="2:6">
      <c r="B18" s="114" t="s">
        <v>59</v>
      </c>
      <c r="C18" s="262">
        <v>59910356</v>
      </c>
      <c r="D18" s="115">
        <v>0</v>
      </c>
    </row>
    <row r="19" spans="2:6">
      <c r="B19" s="114" t="s">
        <v>60</v>
      </c>
      <c r="C19" s="115">
        <f>'Anexo 5s-5w'!C55</f>
        <v>20466003</v>
      </c>
      <c r="D19" s="115">
        <f>+'Anexo 5s-5w'!D55</f>
        <v>15485983</v>
      </c>
    </row>
    <row r="20" spans="2:6">
      <c r="B20" s="114" t="s">
        <v>61</v>
      </c>
      <c r="C20" s="115">
        <f>+'Anexo 5s-5w'!C64</f>
        <v>4537902</v>
      </c>
      <c r="D20" s="372">
        <f>+'Anexo 5s-5w'!D64</f>
        <v>9133980</v>
      </c>
      <c r="F20" s="13"/>
    </row>
    <row r="21" spans="2:6">
      <c r="B21" s="109" t="s">
        <v>62</v>
      </c>
      <c r="C21" s="110">
        <f>+C8+C17</f>
        <v>504161749</v>
      </c>
      <c r="D21" s="110">
        <f>+D8+D17</f>
        <v>130827498</v>
      </c>
    </row>
    <row r="22" spans="2:6">
      <c r="B22" s="111" t="s">
        <v>63</v>
      </c>
      <c r="C22" s="116">
        <f>-SUM(C23:C25)</f>
        <v>-323084120</v>
      </c>
      <c r="D22" s="116">
        <f>-SUM(D23:D25)</f>
        <v>-68696999</v>
      </c>
    </row>
    <row r="23" spans="2:6">
      <c r="B23" s="114" t="s">
        <v>64</v>
      </c>
      <c r="C23" s="115">
        <v>24410450</v>
      </c>
      <c r="D23" s="115">
        <v>7818182</v>
      </c>
    </row>
    <row r="24" spans="2:6">
      <c r="B24" s="114" t="s">
        <v>65</v>
      </c>
      <c r="C24" s="115">
        <v>0</v>
      </c>
      <c r="D24" s="115">
        <v>0</v>
      </c>
    </row>
    <row r="25" spans="2:6">
      <c r="B25" s="114" t="s">
        <v>66</v>
      </c>
      <c r="C25" s="115">
        <f>'Anexo 5s-5w'!C74</f>
        <v>298673670</v>
      </c>
      <c r="D25" s="115">
        <f>'Anexo 5s-5w'!D74</f>
        <v>60878817</v>
      </c>
    </row>
    <row r="26" spans="2:6">
      <c r="B26" s="111" t="s">
        <v>67</v>
      </c>
      <c r="C26" s="116">
        <f>-SUM(C27:C32)</f>
        <v>-209090606</v>
      </c>
      <c r="D26" s="116">
        <f>-SUM(D27:D32)</f>
        <v>-185965253</v>
      </c>
    </row>
    <row r="27" spans="2:6">
      <c r="B27" s="114" t="s">
        <v>68</v>
      </c>
      <c r="C27" s="115">
        <v>0</v>
      </c>
      <c r="D27" s="115">
        <v>0</v>
      </c>
    </row>
    <row r="28" spans="2:6">
      <c r="B28" s="114" t="s">
        <v>69</v>
      </c>
      <c r="C28" s="115">
        <v>0</v>
      </c>
      <c r="D28" s="115">
        <v>0</v>
      </c>
    </row>
    <row r="29" spans="2:6">
      <c r="B29" s="114" t="s">
        <v>70</v>
      </c>
      <c r="C29" s="115">
        <v>0</v>
      </c>
      <c r="D29" s="115">
        <v>0</v>
      </c>
    </row>
    <row r="30" spans="2:6">
      <c r="B30" s="114" t="s">
        <v>71</v>
      </c>
      <c r="C30" s="115">
        <v>0</v>
      </c>
      <c r="D30" s="115">
        <v>848486</v>
      </c>
    </row>
    <row r="31" spans="2:6">
      <c r="B31" s="114" t="s">
        <v>72</v>
      </c>
      <c r="C31" s="115">
        <v>0</v>
      </c>
      <c r="D31" s="115">
        <v>0</v>
      </c>
    </row>
    <row r="32" spans="2:6">
      <c r="B32" s="114" t="s">
        <v>73</v>
      </c>
      <c r="C32" s="115">
        <f>'Anexo 5s-5w'!C104</f>
        <v>209090606</v>
      </c>
      <c r="D32" s="115">
        <f>+'Anexo 5s-5w'!D104</f>
        <v>185116767</v>
      </c>
    </row>
    <row r="33" spans="2:5">
      <c r="B33" s="109" t="s">
        <v>74</v>
      </c>
      <c r="C33" s="110">
        <f>+C21+C22+C26</f>
        <v>-28012977</v>
      </c>
      <c r="D33" s="110">
        <f>+D21+D22+D26</f>
        <v>-123834754</v>
      </c>
    </row>
    <row r="34" spans="2:5">
      <c r="B34" s="111" t="s">
        <v>75</v>
      </c>
      <c r="C34" s="116"/>
      <c r="D34" s="116"/>
    </row>
    <row r="35" spans="2:5">
      <c r="B35" s="114" t="s">
        <v>76</v>
      </c>
      <c r="C35" s="115">
        <f>+'Anexo 5x-5z'!C14</f>
        <v>12899371</v>
      </c>
      <c r="D35" s="115">
        <f>+'Anexo 5x-5z'!D14</f>
        <v>234834</v>
      </c>
    </row>
    <row r="36" spans="2:5">
      <c r="B36" s="114" t="s">
        <v>77</v>
      </c>
      <c r="C36" s="115">
        <v>0</v>
      </c>
      <c r="D36" s="115">
        <v>0</v>
      </c>
    </row>
    <row r="37" spans="2:5">
      <c r="B37" s="111" t="s">
        <v>78</v>
      </c>
      <c r="C37" s="116"/>
      <c r="D37" s="116"/>
    </row>
    <row r="38" spans="2:5">
      <c r="B38" s="111" t="s">
        <v>79</v>
      </c>
      <c r="C38" s="116"/>
      <c r="D38" s="116"/>
    </row>
    <row r="39" spans="2:5">
      <c r="B39" s="114" t="s">
        <v>80</v>
      </c>
      <c r="C39" s="115">
        <f>+'Anexo 5x-5z'!C30</f>
        <v>7165238</v>
      </c>
      <c r="D39" s="115">
        <f>+'Anexo 5x-5z'!D30</f>
        <v>3137044</v>
      </c>
      <c r="E39" s="13"/>
    </row>
    <row r="40" spans="2:5">
      <c r="B40" s="114" t="s">
        <v>81</v>
      </c>
      <c r="C40" s="115">
        <f>+'Anexo 5a-5c'!D37</f>
        <v>2537185</v>
      </c>
      <c r="D40" s="115">
        <v>10151807</v>
      </c>
    </row>
    <row r="41" spans="2:5">
      <c r="B41" s="111" t="s">
        <v>82</v>
      </c>
      <c r="C41" s="116"/>
      <c r="D41" s="116"/>
    </row>
    <row r="42" spans="2:5">
      <c r="B42" s="114" t="s">
        <v>83</v>
      </c>
      <c r="C42" s="115">
        <f>-'Anexo 5x-5z'!C37</f>
        <v>0</v>
      </c>
      <c r="D42" s="115">
        <f>-'Anexo 5x-5z'!D37</f>
        <v>0</v>
      </c>
    </row>
    <row r="43" spans="2:5">
      <c r="B43" s="114" t="s">
        <v>81</v>
      </c>
      <c r="C43" s="115">
        <f>+'Anexo 5a-5c'!D38</f>
        <v>-5899618</v>
      </c>
      <c r="D43" s="115">
        <v>-27528563</v>
      </c>
    </row>
    <row r="44" spans="2:5">
      <c r="B44" s="109" t="s">
        <v>84</v>
      </c>
      <c r="C44" s="110">
        <f>SUM(C33:C43)</f>
        <v>-11310801</v>
      </c>
      <c r="D44" s="110">
        <f>SUM(D33:D43)</f>
        <v>-137839632</v>
      </c>
    </row>
    <row r="45" spans="2:5">
      <c r="B45" s="117" t="s">
        <v>85</v>
      </c>
      <c r="C45" s="116">
        <v>0</v>
      </c>
      <c r="D45" s="116">
        <v>0</v>
      </c>
    </row>
    <row r="46" spans="2:5">
      <c r="B46" s="117" t="s">
        <v>86</v>
      </c>
      <c r="C46" s="116">
        <v>0</v>
      </c>
      <c r="D46" s="116">
        <v>0</v>
      </c>
    </row>
    <row r="47" spans="2:5">
      <c r="B47" s="109" t="s">
        <v>87</v>
      </c>
      <c r="C47" s="110">
        <f>+C44-C45-C46</f>
        <v>-11310801</v>
      </c>
      <c r="D47" s="110">
        <f>+D44-D45-D46</f>
        <v>-137839632</v>
      </c>
      <c r="E47" s="13"/>
    </row>
    <row r="48" spans="2:5">
      <c r="C48" s="13"/>
      <c r="D48" s="13"/>
    </row>
    <row r="49" spans="2:7">
      <c r="B49" s="4"/>
      <c r="C49" s="13"/>
      <c r="D49" s="4"/>
      <c r="F49" s="458"/>
      <c r="G49" s="458"/>
    </row>
    <row r="50" spans="2:7">
      <c r="B50" s="433" t="s">
        <v>377</v>
      </c>
      <c r="C50" s="433"/>
      <c r="D50" s="433"/>
      <c r="E50" s="433"/>
      <c r="F50" s="433"/>
    </row>
  </sheetData>
  <mergeCells count="3">
    <mergeCell ref="B4:D5"/>
    <mergeCell ref="F49:G49"/>
    <mergeCell ref="B50:F50"/>
  </mergeCells>
  <pageMargins left="0.70866141732283472" right="0.70866141732283472" top="1.3385826771653544" bottom="0.74803149606299213" header="0.31496062992125984" footer="0.31496062992125984"/>
  <pageSetup paperSize="9" scale="65"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A4:P27"/>
  <sheetViews>
    <sheetView showGridLines="0" topLeftCell="A9" zoomScale="102" zoomScaleNormal="102" workbookViewId="0">
      <selection activeCell="O19" sqref="O19"/>
    </sheetView>
  </sheetViews>
  <sheetFormatPr baseColWidth="10" defaultColWidth="10.7109375" defaultRowHeight="15"/>
  <cols>
    <col min="1" max="1" width="4.7109375" customWidth="1"/>
    <col min="2" max="2" width="41.5703125" customWidth="1"/>
    <col min="3" max="3" width="16.42578125" customWidth="1"/>
    <col min="4" max="4" width="15" bestFit="1" customWidth="1"/>
    <col min="5" max="5" width="12.42578125" bestFit="1" customWidth="1"/>
    <col min="6" max="6" width="15" customWidth="1"/>
    <col min="7" max="7" width="16.7109375" customWidth="1"/>
    <col min="8" max="8" width="14.28515625" bestFit="1" customWidth="1"/>
    <col min="9" max="9" width="14.28515625" customWidth="1"/>
    <col min="10" max="10" width="14.28515625" bestFit="1" customWidth="1"/>
    <col min="11" max="11" width="15.42578125" customWidth="1"/>
    <col min="12" max="12" width="16.28515625" customWidth="1"/>
    <col min="13" max="13" width="15" bestFit="1" customWidth="1"/>
    <col min="14" max="14" width="14.28515625" bestFit="1" customWidth="1"/>
    <col min="15" max="16" width="13.5703125" bestFit="1" customWidth="1"/>
  </cols>
  <sheetData>
    <row r="4" spans="1:15" ht="15.75">
      <c r="B4" s="460" t="s">
        <v>118</v>
      </c>
      <c r="C4" s="460"/>
      <c r="D4" s="460"/>
      <c r="E4" s="460"/>
      <c r="F4" s="460"/>
      <c r="G4" s="460"/>
      <c r="H4" s="460"/>
      <c r="I4" s="460"/>
      <c r="J4" s="460"/>
      <c r="K4" s="460"/>
      <c r="L4" s="460"/>
      <c r="M4" s="460"/>
      <c r="N4" s="460"/>
    </row>
    <row r="5" spans="1:15" ht="15.75">
      <c r="A5" s="6"/>
      <c r="B5" s="461" t="s">
        <v>744</v>
      </c>
      <c r="C5" s="461"/>
      <c r="D5" s="461"/>
      <c r="E5" s="461"/>
      <c r="F5" s="461"/>
      <c r="G5" s="461"/>
      <c r="H5" s="461"/>
      <c r="I5" s="461"/>
      <c r="J5" s="461"/>
      <c r="K5" s="461"/>
      <c r="L5" s="461"/>
      <c r="M5" s="461"/>
      <c r="N5" s="461"/>
    </row>
    <row r="6" spans="1:15" ht="15.75">
      <c r="A6" s="6"/>
      <c r="B6" s="460" t="s">
        <v>119</v>
      </c>
      <c r="C6" s="460"/>
      <c r="D6" s="460"/>
      <c r="E6" s="460"/>
      <c r="F6" s="460"/>
      <c r="G6" s="460"/>
      <c r="H6" s="460"/>
      <c r="I6" s="460"/>
      <c r="J6" s="460"/>
      <c r="K6" s="460"/>
      <c r="L6" s="460"/>
      <c r="M6" s="460"/>
      <c r="N6" s="460"/>
    </row>
    <row r="7" spans="1:15" ht="15.75">
      <c r="A7" s="6"/>
      <c r="B7" s="30"/>
      <c r="C7" s="30"/>
      <c r="D7" s="30"/>
      <c r="E7" s="30"/>
      <c r="F7" s="30"/>
      <c r="G7" s="30"/>
      <c r="H7" s="30"/>
      <c r="I7" s="30"/>
      <c r="J7" s="30"/>
      <c r="K7" s="30"/>
      <c r="L7" s="30"/>
      <c r="M7" s="30"/>
      <c r="N7" s="30"/>
    </row>
    <row r="8" spans="1:15">
      <c r="B8" s="459" t="s">
        <v>120</v>
      </c>
      <c r="C8" s="459" t="s">
        <v>121</v>
      </c>
      <c r="D8" s="459"/>
      <c r="E8" s="459"/>
      <c r="F8" s="459"/>
      <c r="G8" s="459" t="s">
        <v>122</v>
      </c>
      <c r="H8" s="459"/>
      <c r="I8" s="459"/>
      <c r="J8" s="459"/>
      <c r="K8" s="459" t="s">
        <v>123</v>
      </c>
      <c r="L8" s="459"/>
      <c r="M8" s="459" t="s">
        <v>124</v>
      </c>
      <c r="N8" s="459"/>
    </row>
    <row r="9" spans="1:15">
      <c r="B9" s="459"/>
      <c r="C9" s="459" t="s">
        <v>125</v>
      </c>
      <c r="D9" s="459" t="s">
        <v>126</v>
      </c>
      <c r="E9" s="459" t="s">
        <v>127</v>
      </c>
      <c r="F9" s="459" t="s">
        <v>128</v>
      </c>
      <c r="G9" s="459" t="s">
        <v>129</v>
      </c>
      <c r="H9" s="459" t="s">
        <v>337</v>
      </c>
      <c r="I9" s="459" t="s">
        <v>356</v>
      </c>
      <c r="J9" s="459" t="s">
        <v>130</v>
      </c>
      <c r="K9" s="459" t="s">
        <v>132</v>
      </c>
      <c r="L9" s="459" t="s">
        <v>133</v>
      </c>
      <c r="M9" s="186" t="s">
        <v>134</v>
      </c>
      <c r="N9" s="459" t="s">
        <v>136</v>
      </c>
    </row>
    <row r="10" spans="1:15">
      <c r="B10" s="459"/>
      <c r="C10" s="459"/>
      <c r="D10" s="459"/>
      <c r="E10" s="459"/>
      <c r="F10" s="459"/>
      <c r="G10" s="459"/>
      <c r="H10" s="459"/>
      <c r="I10" s="459"/>
      <c r="J10" s="459"/>
      <c r="K10" s="459"/>
      <c r="L10" s="459"/>
      <c r="M10" s="186" t="s">
        <v>135</v>
      </c>
      <c r="N10" s="459"/>
      <c r="O10" s="13"/>
    </row>
    <row r="11" spans="1:15" s="226" customFormat="1">
      <c r="B11" s="60" t="s">
        <v>319</v>
      </c>
      <c r="C11" s="105">
        <v>0</v>
      </c>
      <c r="D11" s="105">
        <f>+'Balance General'!G45</f>
        <v>14010438</v>
      </c>
      <c r="E11" s="105">
        <f>+'Balance General'!G44</f>
        <v>10015298</v>
      </c>
      <c r="F11" s="105">
        <f>+'Balance General'!G43</f>
        <v>4227400000</v>
      </c>
      <c r="G11" s="105">
        <f>+'Balance General'!G48</f>
        <v>110118857</v>
      </c>
      <c r="H11" s="105">
        <f>+'Balance General'!G46</f>
        <v>803000000</v>
      </c>
      <c r="I11" s="105">
        <f>+'Balance General'!G49</f>
        <v>93691608</v>
      </c>
      <c r="J11" s="105">
        <f>+'Balance General'!G50</f>
        <v>10841802</v>
      </c>
      <c r="K11" s="105">
        <f>+'Balance General'!G52</f>
        <v>-1543712172</v>
      </c>
      <c r="L11" s="105">
        <f>+'Balance General'!G53</f>
        <v>-83796430</v>
      </c>
      <c r="M11" s="105">
        <v>0</v>
      </c>
      <c r="N11" s="105">
        <f>SUM(C11:L11)</f>
        <v>3641569401</v>
      </c>
      <c r="O11" s="227"/>
    </row>
    <row r="12" spans="1:15" s="226" customFormat="1">
      <c r="B12" s="54" t="s">
        <v>138</v>
      </c>
      <c r="C12" s="247"/>
      <c r="D12" s="247"/>
      <c r="E12" s="248"/>
      <c r="F12" s="55"/>
      <c r="G12" s="55"/>
      <c r="H12" s="55"/>
      <c r="I12" s="55"/>
      <c r="J12" s="247"/>
      <c r="K12" s="55"/>
      <c r="L12" s="55"/>
      <c r="M12" s="105"/>
      <c r="N12" s="105"/>
    </row>
    <row r="13" spans="1:15" s="226" customFormat="1">
      <c r="B13" s="60" t="s">
        <v>131</v>
      </c>
      <c r="C13" s="106">
        <v>0</v>
      </c>
      <c r="D13" s="106">
        <f>+'Balance General'!F45-'Balance General'!G45</f>
        <v>0</v>
      </c>
      <c r="E13" s="106">
        <f>+'Balance General'!F44-'Balance General'!G44</f>
        <v>0</v>
      </c>
      <c r="F13" s="106">
        <f>+'Balance General'!F43-'Balance General'!G43</f>
        <v>0</v>
      </c>
      <c r="G13" s="107">
        <v>0</v>
      </c>
      <c r="H13" s="107">
        <v>0</v>
      </c>
      <c r="I13" s="107">
        <v>0</v>
      </c>
      <c r="J13" s="107">
        <v>0</v>
      </c>
      <c r="K13" s="107">
        <v>0</v>
      </c>
      <c r="L13" s="107">
        <v>0</v>
      </c>
      <c r="M13" s="105">
        <f>SUM(C13:L13)</f>
        <v>0</v>
      </c>
      <c r="N13" s="105">
        <v>0</v>
      </c>
    </row>
    <row r="14" spans="1:15" s="226" customFormat="1">
      <c r="B14" s="60" t="s">
        <v>139</v>
      </c>
      <c r="C14" s="107">
        <v>0</v>
      </c>
      <c r="D14" s="107">
        <v>0</v>
      </c>
      <c r="E14" s="107">
        <v>0</v>
      </c>
      <c r="F14" s="107">
        <v>0</v>
      </c>
      <c r="G14" s="108">
        <f>+'Balance General'!F48-'Balance General'!G48</f>
        <v>0</v>
      </c>
      <c r="H14" s="107">
        <v>0</v>
      </c>
      <c r="I14" s="107">
        <f>+'Balance General'!F49-'Balance General'!G49</f>
        <v>0</v>
      </c>
      <c r="J14" s="107">
        <v>0</v>
      </c>
      <c r="K14" s="107">
        <v>0</v>
      </c>
      <c r="L14" s="107">
        <v>0</v>
      </c>
      <c r="M14" s="105">
        <f t="shared" ref="M14:M18" si="0">SUM(C14:L14)</f>
        <v>0</v>
      </c>
      <c r="N14" s="105">
        <v>0</v>
      </c>
    </row>
    <row r="15" spans="1:15" s="226" customFormat="1">
      <c r="B15" s="60" t="s">
        <v>612</v>
      </c>
      <c r="C15" s="106">
        <v>0</v>
      </c>
      <c r="D15" s="106">
        <v>0</v>
      </c>
      <c r="E15" s="106">
        <v>0</v>
      </c>
      <c r="F15" s="106">
        <v>0</v>
      </c>
      <c r="G15" s="107">
        <v>0</v>
      </c>
      <c r="H15" s="107">
        <v>0</v>
      </c>
      <c r="I15" s="107">
        <v>0</v>
      </c>
      <c r="J15" s="107">
        <v>0</v>
      </c>
      <c r="K15" s="107">
        <f>+L11</f>
        <v>-83796430</v>
      </c>
      <c r="L15" s="107">
        <f>-K15</f>
        <v>83796430</v>
      </c>
      <c r="M15" s="105">
        <f t="shared" si="0"/>
        <v>0</v>
      </c>
      <c r="N15" s="105">
        <v>0</v>
      </c>
    </row>
    <row r="16" spans="1:15" s="226" customFormat="1">
      <c r="B16" s="60" t="s">
        <v>576</v>
      </c>
      <c r="C16" s="106">
        <v>0</v>
      </c>
      <c r="D16" s="106">
        <v>0</v>
      </c>
      <c r="E16" s="106">
        <v>0</v>
      </c>
      <c r="F16" s="106">
        <v>0</v>
      </c>
      <c r="G16" s="107">
        <v>0</v>
      </c>
      <c r="H16" s="107">
        <v>0</v>
      </c>
      <c r="I16" s="107">
        <v>0</v>
      </c>
      <c r="J16" s="107">
        <v>0</v>
      </c>
      <c r="K16" s="107">
        <f>(+'Balance General'!G52-'Balance General'!F52+'Balance General'!G53)*-1</f>
        <v>14</v>
      </c>
      <c r="L16" s="107">
        <v>0</v>
      </c>
      <c r="M16" s="105">
        <f t="shared" si="0"/>
        <v>14</v>
      </c>
      <c r="N16" s="105">
        <v>0</v>
      </c>
    </row>
    <row r="17" spans="2:16" s="226" customFormat="1">
      <c r="B17" s="60" t="s">
        <v>613</v>
      </c>
      <c r="C17" s="106">
        <v>0</v>
      </c>
      <c r="D17" s="106">
        <v>0</v>
      </c>
      <c r="E17" s="106">
        <v>0</v>
      </c>
      <c r="F17" s="106">
        <v>0</v>
      </c>
      <c r="G17" s="107">
        <v>0</v>
      </c>
      <c r="H17" s="107">
        <f>+'Balance General'!F46-'Balance General'!G46</f>
        <v>0</v>
      </c>
      <c r="I17" s="107">
        <v>0</v>
      </c>
      <c r="J17" s="107">
        <v>0</v>
      </c>
      <c r="K17" s="107">
        <v>0</v>
      </c>
      <c r="L17" s="107">
        <v>0</v>
      </c>
      <c r="M17" s="105">
        <f t="shared" si="0"/>
        <v>0</v>
      </c>
      <c r="N17" s="105">
        <v>0</v>
      </c>
    </row>
    <row r="18" spans="2:16" s="226" customFormat="1">
      <c r="B18" s="275" t="s">
        <v>320</v>
      </c>
      <c r="C18" s="276">
        <v>0</v>
      </c>
      <c r="D18" s="276">
        <v>0</v>
      </c>
      <c r="E18" s="276">
        <v>0</v>
      </c>
      <c r="F18" s="276">
        <v>0</v>
      </c>
      <c r="G18" s="274">
        <v>0</v>
      </c>
      <c r="H18" s="274">
        <v>0</v>
      </c>
      <c r="I18" s="274">
        <v>0</v>
      </c>
      <c r="J18" s="274">
        <v>0</v>
      </c>
      <c r="K18" s="277">
        <v>0</v>
      </c>
      <c r="L18" s="276">
        <f>+'Balance General'!F53</f>
        <v>-11310801</v>
      </c>
      <c r="M18" s="274">
        <f t="shared" si="0"/>
        <v>-11310801</v>
      </c>
      <c r="N18" s="274">
        <v>0</v>
      </c>
    </row>
    <row r="19" spans="2:16" s="226" customFormat="1">
      <c r="B19" s="278" t="s">
        <v>332</v>
      </c>
      <c r="C19" s="274">
        <f>SUM(C11:C18)</f>
        <v>0</v>
      </c>
      <c r="D19" s="274">
        <f t="shared" ref="D19:L19" si="1">SUM(D11:D18)</f>
        <v>14010438</v>
      </c>
      <c r="E19" s="274">
        <f t="shared" si="1"/>
        <v>10015298</v>
      </c>
      <c r="F19" s="274">
        <f t="shared" si="1"/>
        <v>4227400000</v>
      </c>
      <c r="G19" s="274">
        <f t="shared" si="1"/>
        <v>110118857</v>
      </c>
      <c r="H19" s="274">
        <f t="shared" si="1"/>
        <v>803000000</v>
      </c>
      <c r="I19" s="274">
        <f t="shared" si="1"/>
        <v>93691608</v>
      </c>
      <c r="J19" s="274">
        <f t="shared" si="1"/>
        <v>10841802</v>
      </c>
      <c r="K19" s="274">
        <f>SUM(K11:K18)</f>
        <v>-1627508588</v>
      </c>
      <c r="L19" s="274">
        <f t="shared" si="1"/>
        <v>-11310801</v>
      </c>
      <c r="M19" s="274">
        <f>SUM(C19:L19)</f>
        <v>3630258614</v>
      </c>
      <c r="N19" s="274">
        <v>0</v>
      </c>
      <c r="O19" s="227"/>
      <c r="P19" s="227"/>
    </row>
    <row r="20" spans="2:16" s="226" customFormat="1">
      <c r="B20" s="278" t="s">
        <v>333</v>
      </c>
      <c r="C20" s="274">
        <f t="shared" ref="C20:H20" si="2">+C11</f>
        <v>0</v>
      </c>
      <c r="D20" s="274">
        <f t="shared" si="2"/>
        <v>14010438</v>
      </c>
      <c r="E20" s="279">
        <f t="shared" si="2"/>
        <v>10015298</v>
      </c>
      <c r="F20" s="279">
        <f t="shared" si="2"/>
        <v>4227400000</v>
      </c>
      <c r="G20" s="274">
        <f t="shared" si="2"/>
        <v>110118857</v>
      </c>
      <c r="H20" s="274">
        <f t="shared" si="2"/>
        <v>803000000</v>
      </c>
      <c r="I20" s="274">
        <v>0</v>
      </c>
      <c r="J20" s="274">
        <f>+J11</f>
        <v>10841802</v>
      </c>
      <c r="K20" s="274">
        <f>+K11</f>
        <v>-1543712172</v>
      </c>
      <c r="L20" s="274">
        <f>+L11</f>
        <v>-83796430</v>
      </c>
      <c r="M20" s="274">
        <f>+M11</f>
        <v>0</v>
      </c>
      <c r="N20" s="274">
        <f>+N11</f>
        <v>3641569401</v>
      </c>
      <c r="O20" s="227"/>
    </row>
    <row r="21" spans="2:16">
      <c r="F21" s="13"/>
    </row>
    <row r="22" spans="2:16">
      <c r="M22" s="13"/>
    </row>
    <row r="23" spans="2:16" ht="16.5" customHeight="1">
      <c r="B23" s="174" t="s">
        <v>377</v>
      </c>
      <c r="C23" s="175"/>
      <c r="D23" s="176"/>
      <c r="E23" s="175"/>
      <c r="F23" s="175"/>
      <c r="G23" s="175"/>
      <c r="H23" s="175"/>
    </row>
    <row r="24" spans="2:16">
      <c r="B24" s="21"/>
      <c r="C24" s="21"/>
      <c r="D24" s="21"/>
      <c r="E24" s="21"/>
      <c r="F24" s="21"/>
      <c r="G24" s="21"/>
      <c r="H24" s="21"/>
      <c r="I24" s="21"/>
      <c r="J24" s="21"/>
      <c r="K24" s="21"/>
      <c r="L24" s="21"/>
      <c r="M24" s="21"/>
    </row>
    <row r="25" spans="2:16">
      <c r="B25" s="21"/>
      <c r="C25" s="21"/>
      <c r="D25" s="21"/>
      <c r="E25" s="21"/>
      <c r="F25" s="21"/>
      <c r="G25" s="21"/>
      <c r="H25" s="21"/>
      <c r="I25" s="21"/>
      <c r="J25" s="21"/>
      <c r="K25" s="21"/>
      <c r="L25" s="21"/>
      <c r="M25" s="21"/>
    </row>
    <row r="26" spans="2:16">
      <c r="B26" s="21"/>
      <c r="C26" s="21"/>
      <c r="D26" s="21"/>
      <c r="E26" s="21"/>
      <c r="F26" s="21"/>
      <c r="G26" s="21"/>
      <c r="H26" s="21"/>
      <c r="I26" s="21"/>
      <c r="J26" s="21"/>
      <c r="K26" s="21"/>
      <c r="L26" s="21"/>
      <c r="M26" s="21"/>
    </row>
    <row r="27" spans="2:16">
      <c r="B27" s="21"/>
      <c r="C27" s="21"/>
      <c r="D27" s="21"/>
      <c r="E27" s="21"/>
      <c r="F27" s="21"/>
      <c r="G27" s="21"/>
      <c r="H27" s="21"/>
      <c r="I27" s="21"/>
      <c r="J27" s="21"/>
      <c r="K27" s="21"/>
      <c r="L27" s="21"/>
      <c r="M27" s="21"/>
    </row>
  </sheetData>
  <mergeCells count="19">
    <mergeCell ref="B4:N4"/>
    <mergeCell ref="B5:N5"/>
    <mergeCell ref="B6:N6"/>
    <mergeCell ref="B8:B10"/>
    <mergeCell ref="C8:F8"/>
    <mergeCell ref="G8:J8"/>
    <mergeCell ref="K8:L8"/>
    <mergeCell ref="M8:N8"/>
    <mergeCell ref="C9:C10"/>
    <mergeCell ref="D9:D10"/>
    <mergeCell ref="E9:E10"/>
    <mergeCell ref="F9:F10"/>
    <mergeCell ref="G9:G10"/>
    <mergeCell ref="H9:H10"/>
    <mergeCell ref="J9:J10"/>
    <mergeCell ref="N9:N10"/>
    <mergeCell ref="K9:K10"/>
    <mergeCell ref="L9:L10"/>
    <mergeCell ref="I9:I10"/>
  </mergeCells>
  <pageMargins left="0.7" right="0.7" top="0.75" bottom="0.75" header="0.3" footer="0.3"/>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sheetPr>
  <dimension ref="B4:F47"/>
  <sheetViews>
    <sheetView showGridLines="0" topLeftCell="A19" zoomScale="102" zoomScaleNormal="102" workbookViewId="0">
      <selection activeCell="D44" sqref="D44"/>
    </sheetView>
  </sheetViews>
  <sheetFormatPr baseColWidth="10" defaultColWidth="10.7109375" defaultRowHeight="15"/>
  <cols>
    <col min="2" max="2" width="74.7109375" bestFit="1" customWidth="1"/>
    <col min="3" max="3" width="14.5703125" bestFit="1" customWidth="1"/>
    <col min="4" max="4" width="16.5703125" customWidth="1"/>
    <col min="5" max="5" width="13.7109375" customWidth="1"/>
    <col min="7" max="7" width="15.28515625" customWidth="1"/>
  </cols>
  <sheetData>
    <row r="4" spans="2:6">
      <c r="B4" s="463" t="s">
        <v>88</v>
      </c>
      <c r="C4" s="463"/>
      <c r="D4" s="463"/>
    </row>
    <row r="5" spans="2:6">
      <c r="B5" s="462" t="s">
        <v>743</v>
      </c>
      <c r="C5" s="462"/>
      <c r="D5" s="462"/>
    </row>
    <row r="6" spans="2:6">
      <c r="B6" s="463" t="s">
        <v>89</v>
      </c>
      <c r="C6" s="463"/>
      <c r="D6" s="463"/>
    </row>
    <row r="9" spans="2:6" ht="24">
      <c r="B9" s="197"/>
      <c r="C9" s="187" t="s">
        <v>47</v>
      </c>
      <c r="D9" s="198" t="s">
        <v>48</v>
      </c>
      <c r="E9" s="3"/>
    </row>
    <row r="10" spans="2:6">
      <c r="B10" s="89" t="s">
        <v>90</v>
      </c>
      <c r="C10" s="90"/>
      <c r="D10" s="90"/>
      <c r="E10" s="3"/>
    </row>
    <row r="11" spans="2:6">
      <c r="B11" s="91" t="s">
        <v>91</v>
      </c>
      <c r="C11" s="92">
        <f>+'Estado de Resultados'!C8</f>
        <v>589076010</v>
      </c>
      <c r="D11" s="92">
        <v>1018817741</v>
      </c>
      <c r="E11" s="3"/>
    </row>
    <row r="12" spans="2:6">
      <c r="B12" s="91" t="s">
        <v>92</v>
      </c>
      <c r="C12" s="92">
        <f>-'Estado de Resultados'!C27-'Anexo 5s-5w'!C81-'Anexo 5s-5w'!C82-'Anexo 5s-5w'!C85+'Balance General'!G22-'Balance General'!F22+'Balance General'!F27</f>
        <v>-101294256</v>
      </c>
      <c r="D12" s="92">
        <v>-256616484</v>
      </c>
      <c r="E12" s="3"/>
    </row>
    <row r="13" spans="2:6">
      <c r="B13" s="91" t="s">
        <v>93</v>
      </c>
      <c r="C13" s="92">
        <f>+'Estado de Resultados'!C35+'Estado de Resultados'!C39+'Estado de Resultados'!C40+'Estado de Resultados'!C43</f>
        <v>16702176</v>
      </c>
      <c r="D13" s="92">
        <v>61464737</v>
      </c>
      <c r="E13" s="3"/>
    </row>
    <row r="14" spans="2:6">
      <c r="B14" s="464" t="s">
        <v>94</v>
      </c>
      <c r="C14" s="465">
        <f>SUM(C11:C13)</f>
        <v>504483930</v>
      </c>
      <c r="D14" s="465">
        <f>SUM(D11:D13)</f>
        <v>823665994</v>
      </c>
      <c r="E14" s="3"/>
    </row>
    <row r="15" spans="2:6">
      <c r="B15" s="464"/>
      <c r="C15" s="465"/>
      <c r="D15" s="465"/>
      <c r="E15" s="3"/>
      <c r="F15" s="3"/>
    </row>
    <row r="16" spans="2:6">
      <c r="B16" s="93" t="s">
        <v>95</v>
      </c>
      <c r="C16" s="94"/>
      <c r="D16" s="96"/>
      <c r="E16" s="3"/>
    </row>
    <row r="17" spans="2:5">
      <c r="B17" s="91" t="s">
        <v>96</v>
      </c>
      <c r="C17" s="92">
        <f>+'Balance General'!D24-'Balance General'!C24</f>
        <v>-81178472</v>
      </c>
      <c r="D17" s="92">
        <v>50217436</v>
      </c>
      <c r="E17" s="3"/>
    </row>
    <row r="18" spans="2:5">
      <c r="B18" s="93" t="s">
        <v>97</v>
      </c>
      <c r="C18" s="97"/>
      <c r="D18" s="237"/>
      <c r="E18" s="3"/>
    </row>
    <row r="19" spans="2:5">
      <c r="B19" s="91" t="s">
        <v>98</v>
      </c>
      <c r="C19" s="92">
        <v>-436708496</v>
      </c>
      <c r="D19" s="92">
        <v>-450963101.86000001</v>
      </c>
      <c r="E19" s="3"/>
    </row>
    <row r="20" spans="2:5">
      <c r="B20" s="93" t="s">
        <v>99</v>
      </c>
      <c r="C20" s="95"/>
      <c r="D20" s="92"/>
      <c r="E20" s="3"/>
    </row>
    <row r="21" spans="2:5">
      <c r="B21" s="91" t="s">
        <v>338</v>
      </c>
      <c r="C21" s="92">
        <f>-'Estado de Resultados'!C31-'Estado de Resultados'!C45-'Estado de Resultados'!C46</f>
        <v>0</v>
      </c>
      <c r="D21" s="92">
        <v>-4552077</v>
      </c>
      <c r="E21" s="3"/>
    </row>
    <row r="22" spans="2:5">
      <c r="B22" s="93" t="s">
        <v>100</v>
      </c>
      <c r="C22" s="280">
        <f>SUM(C14:C21)</f>
        <v>-13403038</v>
      </c>
      <c r="D22" s="280">
        <f>SUM(D14:D21)</f>
        <v>418368251.13999999</v>
      </c>
      <c r="E22" s="264"/>
    </row>
    <row r="23" spans="2:5">
      <c r="B23" s="89" t="s">
        <v>101</v>
      </c>
      <c r="C23" s="90"/>
      <c r="D23" s="238"/>
      <c r="E23" s="3"/>
    </row>
    <row r="24" spans="2:5">
      <c r="B24" s="91" t="s">
        <v>102</v>
      </c>
      <c r="C24" s="92">
        <f>+'Balance General'!D16-'Balance General'!C16</f>
        <v>-465204335</v>
      </c>
      <c r="D24" s="92">
        <v>-273665357</v>
      </c>
      <c r="E24" s="3"/>
    </row>
    <row r="25" spans="2:5">
      <c r="B25" s="91" t="s">
        <v>103</v>
      </c>
      <c r="C25" s="92">
        <f>+'Balance General'!D33-'Balance General'!C33+'Balance General'!D34-'Balance General'!C34</f>
        <v>-277879044</v>
      </c>
      <c r="D25" s="92">
        <v>-86758638</v>
      </c>
      <c r="E25" s="3"/>
    </row>
    <row r="26" spans="2:5">
      <c r="B26" s="91" t="s">
        <v>104</v>
      </c>
      <c r="C26" s="92">
        <v>0</v>
      </c>
      <c r="D26" s="92">
        <v>0</v>
      </c>
      <c r="E26" s="3"/>
    </row>
    <row r="27" spans="2:5">
      <c r="B27" s="91" t="s">
        <v>336</v>
      </c>
      <c r="C27" s="92">
        <f>(+'Balance General'!C40-'Balance General'!D40+'Balance General'!C41-'Balance General'!D41)*-1</f>
        <v>9</v>
      </c>
      <c r="D27" s="92">
        <v>1510011.2651997209</v>
      </c>
      <c r="E27" s="3"/>
    </row>
    <row r="28" spans="2:5">
      <c r="B28" s="91" t="s">
        <v>601</v>
      </c>
      <c r="C28" s="92">
        <f>-'Anexo 5i-5m'!D8</f>
        <v>0</v>
      </c>
      <c r="D28" s="92">
        <v>-59159298</v>
      </c>
      <c r="E28" s="3"/>
    </row>
    <row r="29" spans="2:5" ht="15.75" customHeight="1">
      <c r="B29" s="91" t="s">
        <v>105</v>
      </c>
      <c r="C29" s="92">
        <f>+'Balance General'!D17-'Balance General'!C17</f>
        <v>609634734</v>
      </c>
      <c r="D29" s="92">
        <v>-81131773</v>
      </c>
      <c r="E29" s="3"/>
    </row>
    <row r="30" spans="2:5">
      <c r="B30" s="91" t="s">
        <v>106</v>
      </c>
      <c r="C30" s="92">
        <f>+'Anexo 5x-5z'!C9</f>
        <v>0</v>
      </c>
      <c r="D30" s="92">
        <v>27191780</v>
      </c>
      <c r="E30" s="3"/>
    </row>
    <row r="31" spans="2:5">
      <c r="B31" s="91" t="s">
        <v>107</v>
      </c>
      <c r="C31" s="92">
        <f>+'Balance General'!C25-'Balance General'!D25</f>
        <v>81178472</v>
      </c>
      <c r="D31" s="92">
        <v>-50217436</v>
      </c>
      <c r="E31" s="3"/>
    </row>
    <row r="32" spans="2:5">
      <c r="B32" s="93" t="s">
        <v>108</v>
      </c>
      <c r="C32" s="96">
        <f>SUM(C24:C31)</f>
        <v>-52270164</v>
      </c>
      <c r="D32" s="96">
        <f>SUM(D24:D31)</f>
        <v>-522230710.73480028</v>
      </c>
      <c r="E32" s="3"/>
    </row>
    <row r="33" spans="2:5">
      <c r="B33" s="89" t="s">
        <v>109</v>
      </c>
      <c r="C33" s="90"/>
      <c r="D33" s="238"/>
      <c r="E33" s="3"/>
    </row>
    <row r="34" spans="2:5">
      <c r="B34" s="91" t="s">
        <v>110</v>
      </c>
      <c r="C34" s="92">
        <f>+'Balance General'!F44-'Balance General'!G44+'Balance General'!F45-'Balance General'!G45+'Balance General'!F46-'Balance General'!G46</f>
        <v>0</v>
      </c>
      <c r="D34" s="92">
        <v>1115000</v>
      </c>
      <c r="E34" s="3"/>
    </row>
    <row r="35" spans="2:5">
      <c r="B35" s="91" t="s">
        <v>111</v>
      </c>
      <c r="C35" s="294"/>
      <c r="D35" s="92"/>
      <c r="E35" s="3"/>
    </row>
    <row r="36" spans="2:5" hidden="1">
      <c r="B36" s="91" t="s">
        <v>112</v>
      </c>
      <c r="C36" s="92">
        <v>0</v>
      </c>
      <c r="D36" s="92">
        <v>0</v>
      </c>
      <c r="E36" s="3"/>
    </row>
    <row r="37" spans="2:5">
      <c r="B37" s="91" t="s">
        <v>113</v>
      </c>
      <c r="C37" s="294">
        <f>+'Estado de Resultados'!C42</f>
        <v>0</v>
      </c>
      <c r="D37" s="92">
        <v>28222058</v>
      </c>
      <c r="E37" s="3"/>
    </row>
    <row r="38" spans="2:5">
      <c r="B38" s="91" t="s">
        <v>600</v>
      </c>
      <c r="C38" s="294">
        <v>0</v>
      </c>
      <c r="D38" s="294">
        <v>0</v>
      </c>
      <c r="E38" s="3"/>
    </row>
    <row r="39" spans="2:5">
      <c r="B39" s="93" t="s">
        <v>114</v>
      </c>
      <c r="C39" s="96">
        <f>SUM(C34:C38)</f>
        <v>0</v>
      </c>
      <c r="D39" s="96">
        <f>SUM(D34:D38)</f>
        <v>29337058</v>
      </c>
      <c r="E39" s="3"/>
    </row>
    <row r="40" spans="2:5">
      <c r="B40" s="93" t="s">
        <v>342</v>
      </c>
      <c r="C40" s="96">
        <f>+'Anexo 5a-5c'!D37+'Anexo 5a-5c'!D38</f>
        <v>-3362433</v>
      </c>
      <c r="D40" s="96">
        <f>+'Anexo 5a-5c'!F37+'Anexo 5a-5c'!F38</f>
        <v>-15911894</v>
      </c>
      <c r="E40" s="3"/>
    </row>
    <row r="41" spans="2:5">
      <c r="B41" s="93" t="s">
        <v>115</v>
      </c>
      <c r="C41" s="96">
        <f>+C22+C32+C39+C40</f>
        <v>-69035635</v>
      </c>
      <c r="D41" s="96">
        <f>+D22+D32+D39+D40</f>
        <v>-90437295.594800293</v>
      </c>
      <c r="E41" s="3"/>
    </row>
    <row r="42" spans="2:5">
      <c r="B42" s="93" t="s">
        <v>116</v>
      </c>
      <c r="C42" s="96">
        <f>+D43</f>
        <v>257852899.27819997</v>
      </c>
      <c r="D42" s="96">
        <v>348290194.87300026</v>
      </c>
      <c r="E42" s="3"/>
    </row>
    <row r="43" spans="2:5">
      <c r="B43" s="93" t="s">
        <v>117</v>
      </c>
      <c r="C43" s="96">
        <f>+C41+C42</f>
        <v>188817264.27819997</v>
      </c>
      <c r="D43" s="263">
        <f>+D41+D42</f>
        <v>257852899.27819997</v>
      </c>
      <c r="E43" s="244"/>
    </row>
    <row r="44" spans="2:5">
      <c r="C44" s="13"/>
      <c r="D44" s="13"/>
    </row>
    <row r="45" spans="2:5">
      <c r="B45" s="174" t="s">
        <v>377</v>
      </c>
      <c r="C45" s="175"/>
      <c r="D45" s="176"/>
      <c r="E45" s="173"/>
    </row>
    <row r="47" spans="2:5">
      <c r="C47" s="13"/>
      <c r="D47" s="13"/>
    </row>
  </sheetData>
  <mergeCells count="6">
    <mergeCell ref="B5:D5"/>
    <mergeCell ref="B4:D4"/>
    <mergeCell ref="B6:D6"/>
    <mergeCell ref="B14:B15"/>
    <mergeCell ref="C14:C15"/>
    <mergeCell ref="D14:D15"/>
  </mergeCells>
  <pageMargins left="0.70866141732283472" right="0.70866141732283472" top="1.1417322834645669" bottom="0.74803149606299213" header="0.31496062992125984" footer="0.31496062992125984"/>
  <pageSetup scale="77" orientation="portrait"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pageSetUpPr fitToPage="1"/>
  </sheetPr>
  <dimension ref="A4:F41"/>
  <sheetViews>
    <sheetView showGridLines="0" topLeftCell="A26" zoomScale="102" zoomScaleNormal="102" workbookViewId="0">
      <selection activeCell="B38" sqref="B38"/>
    </sheetView>
  </sheetViews>
  <sheetFormatPr baseColWidth="10" defaultColWidth="10.7109375" defaultRowHeight="15"/>
  <cols>
    <col min="1" max="1" width="5" style="98" customWidth="1"/>
    <col min="2" max="2" width="89.28515625" customWidth="1"/>
    <col min="4" max="4" width="15.42578125" customWidth="1"/>
  </cols>
  <sheetData>
    <row r="4" spans="1:2">
      <c r="A4"/>
      <c r="B4" s="195" t="s">
        <v>140</v>
      </c>
    </row>
    <row r="5" spans="1:2" ht="9.6" customHeight="1">
      <c r="A5"/>
    </row>
    <row r="6" spans="1:2">
      <c r="A6" s="196" t="s">
        <v>141</v>
      </c>
      <c r="B6" s="7" t="s">
        <v>443</v>
      </c>
    </row>
    <row r="7" spans="1:2">
      <c r="A7" s="8"/>
    </row>
    <row r="8" spans="1:2" ht="45">
      <c r="A8"/>
      <c r="B8" s="8" t="s">
        <v>745</v>
      </c>
    </row>
    <row r="9" spans="1:2" ht="4.9000000000000004" customHeight="1">
      <c r="A9"/>
      <c r="B9" s="8" t="s">
        <v>366</v>
      </c>
    </row>
    <row r="10" spans="1:2">
      <c r="A10"/>
    </row>
    <row r="11" spans="1:2">
      <c r="A11" s="196" t="s">
        <v>142</v>
      </c>
      <c r="B11" s="7" t="s">
        <v>444</v>
      </c>
    </row>
    <row r="12" spans="1:2">
      <c r="A12"/>
    </row>
    <row r="13" spans="1:2">
      <c r="A13"/>
      <c r="B13" s="196" t="s">
        <v>143</v>
      </c>
    </row>
    <row r="14" spans="1:2" ht="30">
      <c r="A14"/>
      <c r="B14" s="196" t="s">
        <v>445</v>
      </c>
    </row>
    <row r="15" spans="1:2" ht="90">
      <c r="A15"/>
      <c r="B15" s="8" t="s">
        <v>446</v>
      </c>
    </row>
    <row r="16" spans="1:2" ht="30">
      <c r="A16"/>
      <c r="B16" s="8" t="s">
        <v>144</v>
      </c>
    </row>
    <row r="17" spans="1:2" ht="90">
      <c r="A17"/>
      <c r="B17" s="8" t="s">
        <v>145</v>
      </c>
    </row>
    <row r="18" spans="1:2">
      <c r="A18"/>
    </row>
    <row r="19" spans="1:2">
      <c r="A19"/>
      <c r="B19" s="196" t="s">
        <v>146</v>
      </c>
    </row>
    <row r="20" spans="1:2">
      <c r="A20"/>
      <c r="B20" s="8" t="s">
        <v>447</v>
      </c>
    </row>
    <row r="21" spans="1:2" ht="47.65" customHeight="1">
      <c r="A21"/>
    </row>
    <row r="22" spans="1:2">
      <c r="A22"/>
    </row>
    <row r="23" spans="1:2">
      <c r="A23" s="196" t="s">
        <v>147</v>
      </c>
      <c r="B23" s="7" t="s">
        <v>448</v>
      </c>
    </row>
    <row r="24" spans="1:2" ht="45">
      <c r="A24"/>
      <c r="B24" s="288" t="s">
        <v>739</v>
      </c>
    </row>
    <row r="25" spans="1:2">
      <c r="A25"/>
    </row>
    <row r="26" spans="1:2" ht="120">
      <c r="A26"/>
      <c r="B26" s="8" t="s">
        <v>449</v>
      </c>
    </row>
    <row r="27" spans="1:2">
      <c r="A27"/>
    </row>
    <row r="28" spans="1:2" ht="30">
      <c r="A28"/>
      <c r="B28" s="8" t="s">
        <v>450</v>
      </c>
    </row>
    <row r="29" spans="1:2" ht="30">
      <c r="A29"/>
      <c r="B29" s="8" t="s">
        <v>148</v>
      </c>
    </row>
    <row r="30" spans="1:2">
      <c r="A30"/>
    </row>
    <row r="31" spans="1:2" ht="30">
      <c r="A31"/>
      <c r="B31" s="8" t="s">
        <v>451</v>
      </c>
    </row>
    <row r="32" spans="1:2">
      <c r="A32"/>
      <c r="B32" s="8"/>
    </row>
    <row r="33" spans="1:6" ht="90">
      <c r="A33"/>
      <c r="B33" s="8" t="s">
        <v>149</v>
      </c>
    </row>
    <row r="34" spans="1:6">
      <c r="A34"/>
    </row>
    <row r="35" spans="1:6">
      <c r="A35"/>
      <c r="B35" s="8" t="s">
        <v>150</v>
      </c>
    </row>
    <row r="36" spans="1:6">
      <c r="A36"/>
    </row>
    <row r="37" spans="1:6">
      <c r="A37" s="196" t="s">
        <v>151</v>
      </c>
      <c r="B37" s="7" t="s">
        <v>452</v>
      </c>
    </row>
    <row r="38" spans="1:6">
      <c r="A38"/>
      <c r="B38" s="8" t="s">
        <v>653</v>
      </c>
    </row>
    <row r="40" spans="1:6">
      <c r="B40" s="5"/>
      <c r="C40" s="45"/>
      <c r="D40" s="458"/>
      <c r="E40" s="458"/>
      <c r="F40" s="458"/>
    </row>
    <row r="41" spans="1:6">
      <c r="B41" s="5"/>
      <c r="C41" s="45"/>
      <c r="D41" s="458"/>
      <c r="E41" s="458"/>
      <c r="F41" s="458"/>
    </row>
  </sheetData>
  <mergeCells count="2">
    <mergeCell ref="D40:F40"/>
    <mergeCell ref="D41:F41"/>
  </mergeCells>
  <pageMargins left="0.70866141732283472" right="0.70866141732283472" top="1.3385826771653544" bottom="0.74803149606299213" header="0.31496062992125984" footer="0.31496062992125984"/>
  <pageSetup paperSize="9" scale="6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39997558519241921"/>
    <pageSetUpPr fitToPage="1"/>
  </sheetPr>
  <dimension ref="A4:J45"/>
  <sheetViews>
    <sheetView showGridLines="0" topLeftCell="A17" zoomScale="102" zoomScaleNormal="102" workbookViewId="0">
      <selection activeCell="B38" sqref="B38"/>
    </sheetView>
  </sheetViews>
  <sheetFormatPr baseColWidth="10" defaultColWidth="10.7109375" defaultRowHeight="15"/>
  <cols>
    <col min="1" max="1" width="7" customWidth="1"/>
    <col min="2" max="2" width="37.42578125" bestFit="1" customWidth="1"/>
    <col min="3" max="3" width="17.28515625" customWidth="1"/>
    <col min="4" max="4" width="19.42578125" customWidth="1"/>
    <col min="5" max="5" width="15" customWidth="1"/>
    <col min="6" max="6" width="14" customWidth="1"/>
    <col min="9" max="9" width="16.5703125" customWidth="1"/>
    <col min="10" max="10" width="11.7109375" bestFit="1" customWidth="1"/>
  </cols>
  <sheetData>
    <row r="4" spans="1:5">
      <c r="A4" s="153" t="s">
        <v>428</v>
      </c>
      <c r="B4" s="158" t="s">
        <v>417</v>
      </c>
      <c r="C4" s="159"/>
      <c r="D4" s="159"/>
      <c r="E4" s="159"/>
    </row>
    <row r="5" spans="1:5">
      <c r="B5" s="158" t="s">
        <v>152</v>
      </c>
      <c r="C5" s="159"/>
      <c r="D5" s="159"/>
      <c r="E5" s="159"/>
    </row>
    <row r="6" spans="1:5" ht="37.5" customHeight="1">
      <c r="B6" s="469" t="s">
        <v>153</v>
      </c>
      <c r="C6" s="469"/>
      <c r="D6" s="469"/>
      <c r="E6" s="469"/>
    </row>
    <row r="8" spans="1:5">
      <c r="B8" s="470"/>
      <c r="C8" s="186" t="s">
        <v>154</v>
      </c>
      <c r="D8" s="186" t="s">
        <v>156</v>
      </c>
    </row>
    <row r="9" spans="1:5" ht="12.6" customHeight="1">
      <c r="B9" s="470"/>
      <c r="C9" s="186" t="s">
        <v>155</v>
      </c>
      <c r="D9" s="186" t="s">
        <v>157</v>
      </c>
    </row>
    <row r="10" spans="1:5">
      <c r="B10" s="51" t="s">
        <v>158</v>
      </c>
      <c r="C10" s="78">
        <v>7398.63</v>
      </c>
      <c r="D10" s="78">
        <v>7263.59</v>
      </c>
    </row>
    <row r="11" spans="1:5">
      <c r="B11" s="51" t="s">
        <v>159</v>
      </c>
      <c r="C11" s="78">
        <v>7398.63</v>
      </c>
      <c r="D11" s="78">
        <v>7283.62</v>
      </c>
    </row>
    <row r="13" spans="1:5">
      <c r="B13" s="158" t="s">
        <v>160</v>
      </c>
    </row>
    <row r="14" spans="1:5">
      <c r="B14" s="159"/>
    </row>
    <row r="15" spans="1:5">
      <c r="B15" s="467" t="s">
        <v>161</v>
      </c>
      <c r="C15" s="467"/>
    </row>
    <row r="17" spans="2:10" ht="15" customHeight="1">
      <c r="B17" s="471" t="s">
        <v>162</v>
      </c>
      <c r="C17" s="471" t="s">
        <v>163</v>
      </c>
      <c r="D17" s="471" t="s">
        <v>164</v>
      </c>
      <c r="E17" s="468" t="s">
        <v>165</v>
      </c>
      <c r="F17" s="468" t="s">
        <v>166</v>
      </c>
      <c r="G17" s="468" t="s">
        <v>322</v>
      </c>
      <c r="H17" s="468" t="s">
        <v>167</v>
      </c>
      <c r="I17" s="468" t="s">
        <v>321</v>
      </c>
    </row>
    <row r="18" spans="2:10">
      <c r="B18" s="472"/>
      <c r="C18" s="472"/>
      <c r="D18" s="472"/>
      <c r="E18" s="468"/>
      <c r="F18" s="468"/>
      <c r="G18" s="468"/>
      <c r="H18" s="468"/>
      <c r="I18" s="468"/>
    </row>
    <row r="19" spans="2:10">
      <c r="B19" s="473"/>
      <c r="C19" s="473"/>
      <c r="D19" s="473"/>
      <c r="E19" s="468"/>
      <c r="F19" s="468"/>
      <c r="G19" s="468"/>
      <c r="H19" s="468"/>
      <c r="I19" s="468"/>
    </row>
    <row r="20" spans="2:10">
      <c r="B20" s="80" t="s">
        <v>168</v>
      </c>
      <c r="C20" s="81"/>
      <c r="D20" s="120"/>
      <c r="E20" s="81"/>
      <c r="F20" s="81"/>
      <c r="G20" s="81"/>
      <c r="H20" s="81"/>
      <c r="I20" s="81"/>
    </row>
    <row r="21" spans="2:10">
      <c r="B21" s="82" t="s">
        <v>169</v>
      </c>
      <c r="C21" s="81"/>
      <c r="D21" s="120"/>
      <c r="E21" s="81"/>
      <c r="F21" s="81"/>
      <c r="G21" s="120"/>
      <c r="H21" s="81"/>
      <c r="I21" s="81"/>
    </row>
    <row r="22" spans="2:10">
      <c r="B22" s="83" t="s">
        <v>542</v>
      </c>
      <c r="C22" s="84" t="s">
        <v>357</v>
      </c>
      <c r="D22" s="79">
        <v>3588.21</v>
      </c>
      <c r="E22" s="79">
        <f t="shared" ref="E22:E29" si="0">+$C$10</f>
        <v>7398.63</v>
      </c>
      <c r="F22" s="85">
        <f t="shared" ref="F22:F29" si="1">+D22*E22</f>
        <v>26547838.1523</v>
      </c>
      <c r="G22" s="79">
        <v>3125.29</v>
      </c>
      <c r="H22" s="79">
        <f>+$D$10</f>
        <v>7263.59</v>
      </c>
      <c r="I22" s="85">
        <f t="shared" ref="I22:I31" si="2">+G22*H22</f>
        <v>22700825.191100001</v>
      </c>
      <c r="J22" s="13"/>
    </row>
    <row r="23" spans="2:10">
      <c r="B23" s="83" t="s">
        <v>661</v>
      </c>
      <c r="C23" s="84" t="s">
        <v>357</v>
      </c>
      <c r="D23" s="79">
        <v>0</v>
      </c>
      <c r="E23" s="79">
        <f t="shared" si="0"/>
        <v>7398.63</v>
      </c>
      <c r="F23" s="85">
        <f t="shared" ref="F23" si="3">+D23*E23</f>
        <v>0</v>
      </c>
      <c r="G23" s="79"/>
      <c r="H23" s="79">
        <f>+$D$10</f>
        <v>7263.59</v>
      </c>
      <c r="I23" s="85">
        <f t="shared" si="2"/>
        <v>0</v>
      </c>
      <c r="J23" s="13"/>
    </row>
    <row r="24" spans="2:10">
      <c r="B24" s="119" t="s">
        <v>543</v>
      </c>
      <c r="C24" s="84" t="s">
        <v>357</v>
      </c>
      <c r="D24" s="79">
        <v>0</v>
      </c>
      <c r="E24" s="79">
        <f t="shared" si="0"/>
        <v>7398.63</v>
      </c>
      <c r="F24" s="85">
        <f t="shared" si="1"/>
        <v>0</v>
      </c>
      <c r="G24" s="79"/>
      <c r="H24" s="79">
        <f t="shared" ref="H24:H29" si="4">+$D$10</f>
        <v>7263.59</v>
      </c>
      <c r="I24" s="85">
        <f t="shared" si="2"/>
        <v>0</v>
      </c>
      <c r="J24" s="13"/>
    </row>
    <row r="25" spans="2:10">
      <c r="B25" s="83" t="s">
        <v>544</v>
      </c>
      <c r="C25" s="84" t="s">
        <v>357</v>
      </c>
      <c r="D25" s="79">
        <v>7008.18</v>
      </c>
      <c r="E25" s="79">
        <f t="shared" si="0"/>
        <v>7398.63</v>
      </c>
      <c r="F25" s="85">
        <f t="shared" si="1"/>
        <v>51850930.793400005</v>
      </c>
      <c r="G25" s="79">
        <v>7063.18</v>
      </c>
      <c r="H25" s="79">
        <f t="shared" si="4"/>
        <v>7263.59</v>
      </c>
      <c r="I25" s="85">
        <f t="shared" si="2"/>
        <v>51304043.6162</v>
      </c>
    </row>
    <row r="26" spans="2:10">
      <c r="B26" s="83" t="s">
        <v>545</v>
      </c>
      <c r="C26" s="84" t="s">
        <v>357</v>
      </c>
      <c r="D26" s="79">
        <v>0</v>
      </c>
      <c r="E26" s="79">
        <f t="shared" si="0"/>
        <v>7398.63</v>
      </c>
      <c r="F26" s="85">
        <f t="shared" si="1"/>
        <v>0</v>
      </c>
      <c r="G26" s="79">
        <v>89161.02</v>
      </c>
      <c r="H26" s="79">
        <f t="shared" si="4"/>
        <v>7263.59</v>
      </c>
      <c r="I26" s="85">
        <f t="shared" si="2"/>
        <v>647629093.26180005</v>
      </c>
    </row>
    <row r="27" spans="2:10">
      <c r="B27" s="83" t="s">
        <v>733</v>
      </c>
      <c r="C27" s="84" t="s">
        <v>357</v>
      </c>
      <c r="D27" s="79">
        <v>0</v>
      </c>
      <c r="E27" s="79">
        <f t="shared" si="0"/>
        <v>7398.63</v>
      </c>
      <c r="F27" s="85">
        <f t="shared" si="1"/>
        <v>0</v>
      </c>
      <c r="G27" s="79">
        <v>0</v>
      </c>
      <c r="H27" s="79">
        <f t="shared" si="4"/>
        <v>7263.59</v>
      </c>
      <c r="I27" s="85">
        <f t="shared" ref="I27" si="5">+G27*H27</f>
        <v>0</v>
      </c>
    </row>
    <row r="28" spans="2:10">
      <c r="B28" s="83" t="s">
        <v>734</v>
      </c>
      <c r="C28" s="84" t="s">
        <v>357</v>
      </c>
      <c r="D28" s="79">
        <v>0</v>
      </c>
      <c r="E28" s="79">
        <f t="shared" si="0"/>
        <v>7398.63</v>
      </c>
      <c r="F28" s="85">
        <f t="shared" si="1"/>
        <v>0</v>
      </c>
      <c r="G28" s="79"/>
      <c r="H28" s="79">
        <f t="shared" si="4"/>
        <v>7263.59</v>
      </c>
      <c r="I28" s="85">
        <f t="shared" ref="I28" si="6">+G28*H28</f>
        <v>0</v>
      </c>
    </row>
    <row r="29" spans="2:10">
      <c r="B29" s="83" t="s">
        <v>706</v>
      </c>
      <c r="C29" s="84" t="s">
        <v>357</v>
      </c>
      <c r="D29" s="79">
        <v>0</v>
      </c>
      <c r="E29" s="79">
        <f t="shared" si="0"/>
        <v>7398.63</v>
      </c>
      <c r="F29" s="85">
        <f t="shared" si="1"/>
        <v>0</v>
      </c>
      <c r="G29" s="79">
        <v>20219.96</v>
      </c>
      <c r="H29" s="79">
        <f t="shared" si="4"/>
        <v>7263.59</v>
      </c>
      <c r="I29" s="85">
        <f t="shared" si="2"/>
        <v>146869499.25639999</v>
      </c>
    </row>
    <row r="30" spans="2:10">
      <c r="B30" s="82" t="s">
        <v>374</v>
      </c>
      <c r="C30" s="84"/>
      <c r="D30" s="79"/>
      <c r="E30" s="79"/>
      <c r="F30" s="85"/>
      <c r="G30" s="79"/>
      <c r="H30" s="79"/>
      <c r="I30" s="85"/>
    </row>
    <row r="31" spans="2:10">
      <c r="B31" s="83" t="s">
        <v>546</v>
      </c>
      <c r="C31" s="84" t="s">
        <v>357</v>
      </c>
      <c r="D31" s="79">
        <v>0</v>
      </c>
      <c r="E31" s="79">
        <f>+C11</f>
        <v>7398.63</v>
      </c>
      <c r="F31" s="85">
        <f>+D31*E31</f>
        <v>0</v>
      </c>
      <c r="G31" s="84"/>
      <c r="H31" s="79">
        <f>+D11</f>
        <v>7283.62</v>
      </c>
      <c r="I31" s="85">
        <f t="shared" si="2"/>
        <v>0</v>
      </c>
    </row>
    <row r="32" spans="2:10">
      <c r="B32" s="83"/>
      <c r="C32" s="84"/>
      <c r="D32" s="79"/>
      <c r="E32" s="79"/>
      <c r="F32" s="85"/>
      <c r="G32" s="79"/>
      <c r="H32" s="79"/>
      <c r="I32" s="85"/>
    </row>
    <row r="34" spans="2:6">
      <c r="B34" s="466" t="s">
        <v>170</v>
      </c>
      <c r="C34" s="466"/>
    </row>
    <row r="36" spans="2:6" ht="33.75">
      <c r="B36" s="194" t="s">
        <v>171</v>
      </c>
      <c r="C36" s="194" t="s">
        <v>172</v>
      </c>
      <c r="D36" s="194" t="s">
        <v>173</v>
      </c>
      <c r="E36" s="194" t="s">
        <v>174</v>
      </c>
      <c r="F36" s="194" t="s">
        <v>175</v>
      </c>
    </row>
    <row r="37" spans="2:6" ht="22.5">
      <c r="B37" s="239" t="s">
        <v>578</v>
      </c>
      <c r="C37" s="128">
        <f>+C10</f>
        <v>7398.63</v>
      </c>
      <c r="D37" s="129">
        <v>2537185</v>
      </c>
      <c r="E37" s="130">
        <f>+D10</f>
        <v>7263.59</v>
      </c>
      <c r="F37" s="129">
        <v>73144683</v>
      </c>
    </row>
    <row r="38" spans="2:6" ht="22.5">
      <c r="B38" s="239" t="s">
        <v>579</v>
      </c>
      <c r="C38" s="128">
        <f>+C10</f>
        <v>7398.63</v>
      </c>
      <c r="D38" s="129">
        <v>-5899618</v>
      </c>
      <c r="E38" s="138">
        <f>+D11</f>
        <v>7283.62</v>
      </c>
      <c r="F38" s="129">
        <v>-89056577</v>
      </c>
    </row>
    <row r="39" spans="2:6">
      <c r="B39" s="86"/>
      <c r="C39" s="79"/>
      <c r="D39" s="85"/>
      <c r="E39" s="87"/>
      <c r="F39" s="88"/>
    </row>
    <row r="40" spans="2:6">
      <c r="B40" s="86"/>
      <c r="C40" s="79"/>
      <c r="D40" s="85"/>
      <c r="E40" s="87"/>
      <c r="F40" s="88"/>
    </row>
    <row r="41" spans="2:6">
      <c r="B41" s="9"/>
      <c r="C41" s="10"/>
      <c r="D41" s="11"/>
      <c r="E41" s="10"/>
      <c r="F41" s="11"/>
    </row>
    <row r="42" spans="2:6">
      <c r="B42" s="9"/>
      <c r="C42" s="10"/>
      <c r="D42" s="11"/>
      <c r="E42" s="10"/>
      <c r="F42" s="11"/>
    </row>
    <row r="43" spans="2:6">
      <c r="B43" s="9"/>
      <c r="C43" s="10"/>
      <c r="D43" s="11"/>
      <c r="E43" s="10"/>
      <c r="F43" s="11"/>
    </row>
    <row r="44" spans="2:6">
      <c r="B44" s="9"/>
      <c r="C44" s="10"/>
      <c r="D44" s="11"/>
      <c r="E44" s="10"/>
      <c r="F44" s="11"/>
    </row>
    <row r="45" spans="2:6">
      <c r="B45" s="9"/>
      <c r="C45" s="10"/>
      <c r="D45" s="11"/>
      <c r="E45" s="10"/>
      <c r="F45" s="11"/>
    </row>
  </sheetData>
  <mergeCells count="12">
    <mergeCell ref="B6:E6"/>
    <mergeCell ref="B8:B9"/>
    <mergeCell ref="E17:E19"/>
    <mergeCell ref="F17:F19"/>
    <mergeCell ref="C17:C19"/>
    <mergeCell ref="D17:D19"/>
    <mergeCell ref="B17:B19"/>
    <mergeCell ref="B34:C34"/>
    <mergeCell ref="B15:C15"/>
    <mergeCell ref="I17:I19"/>
    <mergeCell ref="H17:H19"/>
    <mergeCell ref="G17:G19"/>
  </mergeCells>
  <pageMargins left="0.70866141732283472" right="0.70866141732283472" top="1.1417322834645669" bottom="0.74803149606299213" header="0.31496062992125984" footer="0.31496062992125984"/>
  <pageSetup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pageSetUpPr fitToPage="1"/>
  </sheetPr>
  <dimension ref="B3:N137"/>
  <sheetViews>
    <sheetView showGridLines="0" topLeftCell="A114" zoomScaleNormal="100" workbookViewId="0">
      <selection activeCell="B68" sqref="B68"/>
    </sheetView>
  </sheetViews>
  <sheetFormatPr baseColWidth="10" defaultColWidth="10.7109375" defaultRowHeight="15"/>
  <cols>
    <col min="1" max="1" width="4.28515625" customWidth="1"/>
    <col min="2" max="2" width="53.7109375" customWidth="1"/>
    <col min="3" max="3" width="18.28515625" customWidth="1"/>
    <col min="4" max="4" width="21.28515625" bestFit="1" customWidth="1"/>
    <col min="5" max="5" width="23" bestFit="1" customWidth="1"/>
    <col min="6" max="6" width="14" customWidth="1"/>
    <col min="7" max="7" width="13.28515625" bestFit="1" customWidth="1"/>
    <col min="8" max="8" width="15.42578125" customWidth="1"/>
    <col min="9" max="9" width="13.28515625" bestFit="1" customWidth="1"/>
    <col min="12" max="12" width="11.28515625" bestFit="1" customWidth="1"/>
  </cols>
  <sheetData>
    <row r="3" spans="2:5" ht="20.65" customHeight="1">
      <c r="B3" s="158" t="s">
        <v>176</v>
      </c>
      <c r="C3" s="159"/>
      <c r="D3" s="159"/>
      <c r="E3" s="159"/>
    </row>
    <row r="4" spans="2:5">
      <c r="B4" s="474" t="s">
        <v>177</v>
      </c>
      <c r="C4" s="474"/>
      <c r="D4" s="474"/>
      <c r="E4" s="474"/>
    </row>
    <row r="6" spans="2:5">
      <c r="B6" s="475" t="s">
        <v>178</v>
      </c>
      <c r="C6" s="475" t="s">
        <v>179</v>
      </c>
      <c r="D6" s="476" t="s">
        <v>180</v>
      </c>
    </row>
    <row r="7" spans="2:5">
      <c r="B7" s="475"/>
      <c r="C7" s="475"/>
      <c r="D7" s="476"/>
    </row>
    <row r="8" spans="2:5">
      <c r="B8" s="38" t="s">
        <v>181</v>
      </c>
      <c r="C8" s="39">
        <v>0</v>
      </c>
      <c r="D8" s="39">
        <v>0</v>
      </c>
    </row>
    <row r="9" spans="2:5">
      <c r="B9" s="38" t="s">
        <v>746</v>
      </c>
      <c r="C9" s="39">
        <v>594000</v>
      </c>
      <c r="D9" s="39"/>
    </row>
    <row r="10" spans="2:5">
      <c r="B10" s="38" t="s">
        <v>547</v>
      </c>
      <c r="C10" s="39">
        <v>1103392</v>
      </c>
      <c r="D10" s="39">
        <v>9003314</v>
      </c>
    </row>
    <row r="11" spans="2:5">
      <c r="B11" s="38" t="s">
        <v>542</v>
      </c>
      <c r="C11" s="39">
        <v>26547838</v>
      </c>
      <c r="D11" s="39">
        <v>22700825</v>
      </c>
    </row>
    <row r="12" spans="2:5">
      <c r="B12" s="38" t="s">
        <v>548</v>
      </c>
      <c r="C12" s="39">
        <v>36397903</v>
      </c>
      <c r="D12" s="39">
        <v>97539621</v>
      </c>
    </row>
    <row r="13" spans="2:5">
      <c r="B13" s="38" t="s">
        <v>662</v>
      </c>
      <c r="C13" s="39">
        <v>171616</v>
      </c>
      <c r="D13" s="39">
        <v>171616</v>
      </c>
    </row>
    <row r="14" spans="2:5">
      <c r="B14" s="38" t="s">
        <v>663</v>
      </c>
      <c r="C14" s="39"/>
      <c r="D14" s="39">
        <v>0</v>
      </c>
    </row>
    <row r="15" spans="2:5">
      <c r="B15" s="38" t="s">
        <v>668</v>
      </c>
      <c r="C15" s="39"/>
      <c r="D15" s="39">
        <v>0</v>
      </c>
    </row>
    <row r="16" spans="2:5">
      <c r="B16" s="38" t="s">
        <v>707</v>
      </c>
      <c r="C16" s="39">
        <v>152483</v>
      </c>
      <c r="D16" s="39">
        <v>152483</v>
      </c>
    </row>
    <row r="17" spans="2:9">
      <c r="B17" s="38" t="s">
        <v>549</v>
      </c>
      <c r="C17" s="39"/>
      <c r="D17" s="39">
        <v>0</v>
      </c>
    </row>
    <row r="18" spans="2:9">
      <c r="B18" s="38" t="s">
        <v>543</v>
      </c>
      <c r="C18" s="39"/>
      <c r="D18" s="39">
        <v>0</v>
      </c>
    </row>
    <row r="19" spans="2:9">
      <c r="B19" s="38" t="s">
        <v>550</v>
      </c>
      <c r="C19" s="39">
        <v>514943</v>
      </c>
      <c r="D19" s="39">
        <v>514943</v>
      </c>
    </row>
    <row r="20" spans="2:9">
      <c r="B20" s="38" t="s">
        <v>551</v>
      </c>
      <c r="C20" s="39">
        <v>17679318</v>
      </c>
      <c r="D20" s="39">
        <v>21648200</v>
      </c>
    </row>
    <row r="21" spans="2:9">
      <c r="B21" s="38" t="s">
        <v>552</v>
      </c>
      <c r="C21" s="39">
        <v>20144819</v>
      </c>
      <c r="D21" s="39">
        <v>20144819</v>
      </c>
    </row>
    <row r="22" spans="2:9">
      <c r="B22" s="38" t="s">
        <v>544</v>
      </c>
      <c r="C22" s="39">
        <v>51850931</v>
      </c>
      <c r="D22" s="39">
        <v>51304044</v>
      </c>
    </row>
    <row r="23" spans="2:9">
      <c r="B23" s="38" t="s">
        <v>554</v>
      </c>
      <c r="C23" s="39">
        <v>27906147</v>
      </c>
      <c r="D23" s="39">
        <v>28919161</v>
      </c>
    </row>
    <row r="24" spans="2:9">
      <c r="B24" s="38" t="s">
        <v>553</v>
      </c>
      <c r="C24" s="39">
        <v>5753874</v>
      </c>
      <c r="D24" s="39">
        <v>5753873</v>
      </c>
    </row>
    <row r="25" spans="2:9">
      <c r="B25" s="40" t="s">
        <v>182</v>
      </c>
      <c r="C25" s="41">
        <f>SUM(C8:C24)</f>
        <v>188817264</v>
      </c>
      <c r="D25" s="41">
        <f>SUM(D8:D24)</f>
        <v>257852899</v>
      </c>
    </row>
    <row r="27" spans="2:9">
      <c r="B27" s="158" t="s">
        <v>183</v>
      </c>
      <c r="C27" s="159"/>
      <c r="D27" s="159"/>
    </row>
    <row r="28" spans="2:9">
      <c r="B28" s="474" t="s">
        <v>184</v>
      </c>
      <c r="C28" s="474"/>
      <c r="D28" s="474"/>
    </row>
    <row r="30" spans="2:9">
      <c r="B30" s="459" t="s">
        <v>185</v>
      </c>
      <c r="C30" s="459"/>
      <c r="D30" s="459"/>
      <c r="E30" s="459"/>
      <c r="F30" s="459"/>
      <c r="G30" s="459" t="s">
        <v>186</v>
      </c>
      <c r="H30" s="459"/>
      <c r="I30" s="459"/>
    </row>
    <row r="31" spans="2:9" ht="18" customHeight="1">
      <c r="B31" s="100"/>
      <c r="C31" s="100" t="s">
        <v>187</v>
      </c>
      <c r="D31" s="478" t="s">
        <v>188</v>
      </c>
      <c r="E31" s="478" t="s">
        <v>189</v>
      </c>
      <c r="F31" s="100" t="s">
        <v>190</v>
      </c>
      <c r="G31" s="100"/>
      <c r="H31" s="100"/>
      <c r="I31" s="100" t="s">
        <v>192</v>
      </c>
    </row>
    <row r="32" spans="2:9">
      <c r="B32" s="100" t="s">
        <v>193</v>
      </c>
      <c r="C32" s="100" t="s">
        <v>194</v>
      </c>
      <c r="D32" s="478"/>
      <c r="E32" s="478"/>
      <c r="F32" s="100" t="s">
        <v>195</v>
      </c>
      <c r="G32" s="100" t="s">
        <v>121</v>
      </c>
      <c r="H32" s="100" t="s">
        <v>191</v>
      </c>
      <c r="I32" s="100" t="s">
        <v>196</v>
      </c>
    </row>
    <row r="33" spans="2:9">
      <c r="B33" s="101" t="s">
        <v>197</v>
      </c>
      <c r="C33" s="102"/>
      <c r="D33" s="103"/>
      <c r="E33" s="104"/>
      <c r="F33" s="104"/>
      <c r="G33" s="103"/>
      <c r="H33" s="103"/>
      <c r="I33" s="103"/>
    </row>
    <row r="34" spans="2:9">
      <c r="B34" s="60" t="s">
        <v>358</v>
      </c>
      <c r="C34" s="67" t="s">
        <v>359</v>
      </c>
      <c r="D34" s="67">
        <v>1</v>
      </c>
      <c r="E34" s="52">
        <v>200000000</v>
      </c>
      <c r="F34" s="52">
        <v>1003000000</v>
      </c>
      <c r="G34" s="118">
        <v>8800000000</v>
      </c>
      <c r="H34" s="118">
        <v>0</v>
      </c>
      <c r="I34" s="118">
        <v>0</v>
      </c>
    </row>
    <row r="35" spans="2:9">
      <c r="B35" s="60"/>
      <c r="C35" s="67"/>
      <c r="D35" s="67"/>
      <c r="E35" s="53"/>
      <c r="F35" s="52"/>
      <c r="G35" s="67"/>
      <c r="H35" s="67"/>
      <c r="I35" s="67"/>
    </row>
    <row r="36" spans="2:9">
      <c r="B36" s="479" t="s">
        <v>198</v>
      </c>
      <c r="C36" s="479"/>
      <c r="D36" s="479"/>
      <c r="E36" s="193">
        <v>0</v>
      </c>
      <c r="F36" s="193">
        <f>SUM(F34:F35)</f>
        <v>1003000000</v>
      </c>
      <c r="G36" s="67"/>
      <c r="H36" s="67"/>
      <c r="I36" s="67"/>
    </row>
    <row r="37" spans="2:9">
      <c r="B37" s="480" t="s">
        <v>199</v>
      </c>
      <c r="C37" s="480"/>
      <c r="D37" s="480"/>
      <c r="E37" s="55">
        <v>0</v>
      </c>
      <c r="F37" s="68">
        <v>0</v>
      </c>
      <c r="G37" s="67"/>
      <c r="H37" s="67"/>
      <c r="I37" s="67"/>
    </row>
    <row r="39" spans="2:9">
      <c r="B39" s="158" t="s">
        <v>200</v>
      </c>
      <c r="C39" s="159"/>
      <c r="D39" s="159"/>
      <c r="E39" s="159"/>
      <c r="F39" s="159"/>
    </row>
    <row r="40" spans="2:9" ht="47.25" customHeight="1">
      <c r="B40" s="469" t="s">
        <v>624</v>
      </c>
      <c r="C40" s="469"/>
      <c r="D40" s="469"/>
      <c r="E40" s="469"/>
      <c r="F40" s="469"/>
      <c r="G40" s="32"/>
    </row>
    <row r="41" spans="2:9" ht="27" customHeight="1">
      <c r="B41" s="186" t="s">
        <v>6</v>
      </c>
      <c r="C41" s="186" t="s">
        <v>201</v>
      </c>
      <c r="D41" s="186" t="s">
        <v>202</v>
      </c>
      <c r="E41" s="186" t="s">
        <v>203</v>
      </c>
    </row>
    <row r="42" spans="2:9">
      <c r="B42" s="51" t="s">
        <v>204</v>
      </c>
      <c r="C42" s="69">
        <v>200000000</v>
      </c>
      <c r="D42" s="69"/>
      <c r="E42" s="69">
        <v>1003000000</v>
      </c>
    </row>
    <row r="43" spans="2:9">
      <c r="B43" s="51" t="s">
        <v>205</v>
      </c>
      <c r="C43" s="69">
        <v>200000000</v>
      </c>
      <c r="D43" s="69">
        <v>516375371</v>
      </c>
      <c r="E43" s="69">
        <v>1003000000</v>
      </c>
    </row>
    <row r="45" spans="2:9">
      <c r="B45" s="158" t="s">
        <v>206</v>
      </c>
      <c r="C45" s="159"/>
      <c r="D45" s="159"/>
      <c r="E45" s="159"/>
      <c r="F45" s="159"/>
    </row>
    <row r="46" spans="2:9">
      <c r="B46" s="474" t="s">
        <v>184</v>
      </c>
      <c r="C46" s="474"/>
      <c r="D46" s="474"/>
      <c r="E46" s="474"/>
      <c r="F46" s="474"/>
    </row>
    <row r="47" spans="2:9">
      <c r="B47" s="160"/>
      <c r="C47" s="159"/>
      <c r="D47" s="159"/>
      <c r="E47" s="159"/>
      <c r="F47" s="159"/>
    </row>
    <row r="48" spans="2:9">
      <c r="B48" s="481" t="s">
        <v>415</v>
      </c>
      <c r="C48" s="481"/>
      <c r="D48" s="159"/>
      <c r="E48" s="159"/>
      <c r="F48" s="159"/>
    </row>
    <row r="49" spans="2:7">
      <c r="B49" s="482" t="s">
        <v>171</v>
      </c>
      <c r="C49" s="482" t="s">
        <v>179</v>
      </c>
      <c r="D49" s="482" t="s">
        <v>207</v>
      </c>
    </row>
    <row r="50" spans="2:7" ht="6.6" customHeight="1">
      <c r="B50" s="482"/>
      <c r="C50" s="482"/>
      <c r="D50" s="482"/>
    </row>
    <row r="51" spans="2:7">
      <c r="B51" s="57" t="s">
        <v>691</v>
      </c>
      <c r="C51" s="70">
        <v>39577800</v>
      </c>
      <c r="D51" s="70">
        <v>39577800</v>
      </c>
    </row>
    <row r="52" spans="2:7">
      <c r="B52" s="57" t="s">
        <v>690</v>
      </c>
      <c r="C52" s="70">
        <v>2000000</v>
      </c>
      <c r="D52" s="70">
        <v>6680373</v>
      </c>
    </row>
    <row r="53" spans="2:7">
      <c r="B53" s="59" t="s">
        <v>208</v>
      </c>
      <c r="C53" s="71">
        <f>+C52+C51</f>
        <v>41577800</v>
      </c>
      <c r="D53" s="71">
        <f>+D52+D51</f>
        <v>46258173</v>
      </c>
    </row>
    <row r="55" spans="2:7">
      <c r="B55" s="158" t="s">
        <v>416</v>
      </c>
    </row>
    <row r="56" spans="2:7">
      <c r="B56" s="477" t="s">
        <v>361</v>
      </c>
      <c r="C56" s="477" t="s">
        <v>179</v>
      </c>
      <c r="D56" s="477" t="s">
        <v>207</v>
      </c>
    </row>
    <row r="57" spans="2:7">
      <c r="B57" s="477"/>
      <c r="C57" s="477"/>
      <c r="D57" s="477"/>
    </row>
    <row r="58" spans="2:7" ht="15.75">
      <c r="B58" s="72" t="s">
        <v>368</v>
      </c>
      <c r="C58" s="73">
        <v>66902943</v>
      </c>
      <c r="D58" s="73">
        <v>65602943</v>
      </c>
      <c r="E58" s="281"/>
      <c r="G58" s="14"/>
    </row>
    <row r="59" spans="2:7" ht="15.75">
      <c r="B59" s="72" t="s">
        <v>685</v>
      </c>
      <c r="C59" s="73">
        <v>0</v>
      </c>
      <c r="D59" s="73">
        <v>120900494</v>
      </c>
      <c r="E59" s="282"/>
      <c r="G59" s="14"/>
    </row>
    <row r="60" spans="2:7" ht="15.75">
      <c r="B60" s="75" t="s">
        <v>208</v>
      </c>
      <c r="C60" s="76">
        <f>SUM(C58:C59)</f>
        <v>66902943</v>
      </c>
      <c r="D60" s="76">
        <f>SUM(D58:D59)</f>
        <v>186503437</v>
      </c>
      <c r="E60" s="283"/>
      <c r="G60" s="15"/>
    </row>
    <row r="61" spans="2:7" ht="15.75">
      <c r="B61" s="265"/>
      <c r="C61" s="266"/>
      <c r="D61" s="266"/>
      <c r="E61" s="283"/>
      <c r="G61" s="15"/>
    </row>
    <row r="62" spans="2:7" ht="15.75">
      <c r="B62" s="265"/>
      <c r="C62" s="266"/>
      <c r="D62" s="266"/>
      <c r="E62" s="283"/>
      <c r="G62" s="15"/>
    </row>
    <row r="63" spans="2:7">
      <c r="B63" s="158" t="s">
        <v>620</v>
      </c>
      <c r="E63" s="284"/>
    </row>
    <row r="64" spans="2:7">
      <c r="B64" s="477" t="s">
        <v>361</v>
      </c>
      <c r="C64" s="477" t="s">
        <v>179</v>
      </c>
      <c r="D64" s="477" t="s">
        <v>207</v>
      </c>
      <c r="E64" s="284"/>
    </row>
    <row r="65" spans="2:7">
      <c r="B65" s="477"/>
      <c r="C65" s="477"/>
      <c r="D65" s="477"/>
      <c r="E65" s="284"/>
    </row>
    <row r="66" spans="2:7" ht="15.75">
      <c r="B66" s="72" t="s">
        <v>638</v>
      </c>
      <c r="C66" s="73">
        <v>355384378</v>
      </c>
      <c r="D66" s="73">
        <v>147456823</v>
      </c>
      <c r="E66" s="281"/>
      <c r="G66" s="14"/>
    </row>
    <row r="67" spans="2:7" ht="15.75">
      <c r="B67" s="72" t="s">
        <v>747</v>
      </c>
      <c r="C67" s="73">
        <v>2652024</v>
      </c>
      <c r="D67" s="73">
        <v>0</v>
      </c>
      <c r="E67" s="281"/>
      <c r="G67" s="14"/>
    </row>
    <row r="68" spans="2:7" ht="15.75">
      <c r="B68" s="72" t="s">
        <v>692</v>
      </c>
      <c r="C68" s="73"/>
      <c r="D68" s="73">
        <v>0</v>
      </c>
      <c r="E68" s="281"/>
      <c r="G68" s="14"/>
    </row>
    <row r="69" spans="2:7" ht="15.75">
      <c r="B69" s="72" t="s">
        <v>669</v>
      </c>
      <c r="C69" s="73"/>
      <c r="D69" s="73">
        <v>0</v>
      </c>
      <c r="E69" s="281"/>
      <c r="G69" s="14"/>
    </row>
    <row r="70" spans="2:7" ht="15.75">
      <c r="B70" s="72" t="s">
        <v>693</v>
      </c>
      <c r="C70" s="73"/>
      <c r="D70" s="73">
        <v>0</v>
      </c>
      <c r="E70" s="281"/>
      <c r="G70" s="14"/>
    </row>
    <row r="71" spans="2:7" ht="15.75">
      <c r="B71" s="72" t="s">
        <v>670</v>
      </c>
      <c r="C71" s="73"/>
      <c r="D71" s="73">
        <v>0</v>
      </c>
      <c r="E71" s="281"/>
      <c r="G71" s="14"/>
    </row>
    <row r="72" spans="2:7" ht="15.75">
      <c r="B72" s="72" t="s">
        <v>694</v>
      </c>
      <c r="C72" s="73"/>
      <c r="D72" s="73">
        <v>0</v>
      </c>
      <c r="E72" s="281"/>
      <c r="G72" s="14"/>
    </row>
    <row r="73" spans="2:7" ht="15.75">
      <c r="B73" s="72" t="s">
        <v>708</v>
      </c>
      <c r="C73" s="73"/>
      <c r="D73" s="73">
        <v>453750</v>
      </c>
      <c r="E73" s="281"/>
      <c r="G73" s="14"/>
    </row>
    <row r="74" spans="2:7" ht="15.75">
      <c r="B74" s="72" t="s">
        <v>639</v>
      </c>
      <c r="C74" s="73">
        <v>165000</v>
      </c>
      <c r="D74" s="73">
        <v>165000</v>
      </c>
      <c r="E74" s="281"/>
      <c r="G74" s="14"/>
    </row>
    <row r="75" spans="2:7" ht="15.75">
      <c r="B75" s="72" t="s">
        <v>695</v>
      </c>
      <c r="C75" s="73">
        <v>165000</v>
      </c>
      <c r="D75" s="73">
        <v>165000</v>
      </c>
      <c r="E75" s="281"/>
      <c r="G75" s="14"/>
    </row>
    <row r="76" spans="2:7" ht="15.75">
      <c r="B76" s="72" t="s">
        <v>748</v>
      </c>
      <c r="C76" s="73">
        <v>151350</v>
      </c>
      <c r="D76" s="73">
        <v>0</v>
      </c>
      <c r="E76" s="281"/>
      <c r="G76" s="14"/>
    </row>
    <row r="77" spans="2:7" ht="15.75">
      <c r="B77" s="72" t="s">
        <v>671</v>
      </c>
      <c r="C77" s="73"/>
      <c r="D77" s="73">
        <v>0</v>
      </c>
      <c r="E77" s="281"/>
      <c r="G77" s="14"/>
    </row>
    <row r="78" spans="2:7" ht="15.75">
      <c r="B78" s="72" t="s">
        <v>672</v>
      </c>
      <c r="C78" s="73"/>
      <c r="D78" s="73">
        <v>0</v>
      </c>
      <c r="E78" s="281"/>
      <c r="G78" s="14"/>
    </row>
    <row r="79" spans="2:7" ht="15.75">
      <c r="B79" s="72" t="s">
        <v>532</v>
      </c>
      <c r="C79" s="73"/>
      <c r="D79" s="73">
        <v>0</v>
      </c>
      <c r="E79" s="281"/>
      <c r="G79" s="14"/>
    </row>
    <row r="80" spans="2:7" ht="15.75">
      <c r="B80" s="72" t="s">
        <v>621</v>
      </c>
      <c r="C80" s="73"/>
      <c r="D80" s="73">
        <v>0</v>
      </c>
      <c r="E80" s="281"/>
      <c r="G80" s="14"/>
    </row>
    <row r="81" spans="2:7" ht="15.75">
      <c r="B81" s="72" t="s">
        <v>640</v>
      </c>
      <c r="C81" s="73">
        <v>16500000</v>
      </c>
      <c r="D81" s="73">
        <v>266500000</v>
      </c>
      <c r="E81" s="281"/>
      <c r="G81" s="14"/>
    </row>
    <row r="82" spans="2:7" ht="15.75">
      <c r="B82" s="72" t="s">
        <v>749</v>
      </c>
      <c r="C82" s="73">
        <v>61850000</v>
      </c>
      <c r="D82" s="73">
        <v>0</v>
      </c>
      <c r="E82" s="281"/>
      <c r="G82" s="14"/>
    </row>
    <row r="83" spans="2:7" ht="15.75">
      <c r="B83" s="72" t="s">
        <v>750</v>
      </c>
      <c r="C83" s="73">
        <v>165000</v>
      </c>
      <c r="D83" s="73">
        <v>0</v>
      </c>
      <c r="E83" s="281"/>
      <c r="G83" s="14"/>
    </row>
    <row r="84" spans="2:7" ht="15.75">
      <c r="B84" s="72" t="s">
        <v>751</v>
      </c>
      <c r="C84" s="73">
        <v>1857940</v>
      </c>
      <c r="D84" s="73">
        <v>0</v>
      </c>
      <c r="E84" s="281"/>
      <c r="G84" s="14"/>
    </row>
    <row r="85" spans="2:7" ht="15.75">
      <c r="B85" s="72" t="s">
        <v>752</v>
      </c>
      <c r="C85" s="73">
        <v>45080</v>
      </c>
      <c r="D85" s="73">
        <v>0</v>
      </c>
      <c r="E85" s="281"/>
      <c r="G85" s="14"/>
    </row>
    <row r="86" spans="2:7" ht="15.75">
      <c r="B86" s="72" t="s">
        <v>753</v>
      </c>
      <c r="C86" s="73">
        <v>133470</v>
      </c>
      <c r="D86" s="73">
        <v>0</v>
      </c>
      <c r="E86" s="281"/>
      <c r="G86" s="14"/>
    </row>
    <row r="87" spans="2:7" ht="15.75">
      <c r="B87" s="72" t="s">
        <v>673</v>
      </c>
      <c r="C87" s="73"/>
      <c r="D87" s="73">
        <v>0</v>
      </c>
      <c r="E87" s="281"/>
      <c r="G87" s="14"/>
    </row>
    <row r="88" spans="2:7" ht="15.75">
      <c r="B88" s="72" t="s">
        <v>754</v>
      </c>
      <c r="C88" s="73">
        <v>150313</v>
      </c>
      <c r="D88" s="73">
        <v>0</v>
      </c>
      <c r="E88" s="281"/>
      <c r="G88" s="14"/>
    </row>
    <row r="89" spans="2:7" ht="15.75">
      <c r="B89" s="72" t="s">
        <v>755</v>
      </c>
      <c r="C89" s="73">
        <v>254100</v>
      </c>
      <c r="D89" s="73">
        <v>0</v>
      </c>
      <c r="E89" s="281"/>
      <c r="G89" s="14"/>
    </row>
    <row r="90" spans="2:7" ht="15.75">
      <c r="B90" s="72" t="s">
        <v>756</v>
      </c>
      <c r="C90" s="73">
        <v>2746263</v>
      </c>
      <c r="D90" s="73">
        <v>0</v>
      </c>
      <c r="E90" s="281"/>
      <c r="G90" s="14"/>
    </row>
    <row r="91" spans="2:7" ht="15.75">
      <c r="B91" s="72" t="s">
        <v>757</v>
      </c>
      <c r="C91" s="73">
        <v>100000</v>
      </c>
      <c r="D91" s="73">
        <v>0</v>
      </c>
      <c r="E91" s="281"/>
      <c r="G91" s="14"/>
    </row>
    <row r="92" spans="2:7" ht="15.75">
      <c r="B92" s="72" t="s">
        <v>758</v>
      </c>
      <c r="C92" s="73">
        <v>437000</v>
      </c>
      <c r="D92" s="73">
        <v>0</v>
      </c>
      <c r="E92" s="281"/>
      <c r="G92" s="14"/>
    </row>
    <row r="93" spans="2:7" ht="15.75">
      <c r="B93" s="72" t="s">
        <v>759</v>
      </c>
      <c r="C93" s="73">
        <v>272637</v>
      </c>
      <c r="D93" s="73">
        <v>0</v>
      </c>
      <c r="E93" s="281"/>
      <c r="G93" s="14"/>
    </row>
    <row r="94" spans="2:7" ht="15.75">
      <c r="B94" s="72" t="s">
        <v>674</v>
      </c>
      <c r="C94" s="73"/>
      <c r="D94" s="73">
        <v>0</v>
      </c>
      <c r="E94" s="281"/>
      <c r="G94" s="14"/>
    </row>
    <row r="95" spans="2:7" ht="15.75">
      <c r="B95" s="72" t="s">
        <v>641</v>
      </c>
      <c r="C95" s="73"/>
      <c r="D95" s="73">
        <v>0</v>
      </c>
      <c r="E95" s="281"/>
      <c r="G95" s="14"/>
    </row>
    <row r="96" spans="2:7" ht="15.75">
      <c r="B96" s="72" t="s">
        <v>641</v>
      </c>
      <c r="C96" s="73"/>
      <c r="D96" s="73">
        <v>0</v>
      </c>
      <c r="E96" s="281"/>
      <c r="G96" s="14"/>
    </row>
    <row r="97" spans="2:7" ht="15.75">
      <c r="B97" s="72" t="s">
        <v>675</v>
      </c>
      <c r="C97" s="73"/>
      <c r="D97" s="73">
        <v>0</v>
      </c>
      <c r="E97" s="281"/>
      <c r="G97" s="14"/>
    </row>
    <row r="98" spans="2:7" ht="15.75">
      <c r="B98" s="72" t="s">
        <v>676</v>
      </c>
      <c r="C98" s="73"/>
      <c r="D98" s="73">
        <v>0</v>
      </c>
      <c r="E98" s="281"/>
      <c r="G98" s="14"/>
    </row>
    <row r="99" spans="2:7" ht="15.75">
      <c r="B99" s="72" t="s">
        <v>676</v>
      </c>
      <c r="C99" s="73"/>
      <c r="D99" s="73">
        <v>0</v>
      </c>
      <c r="E99" s="281"/>
      <c r="G99" s="14"/>
    </row>
    <row r="100" spans="2:7" ht="15.75">
      <c r="B100" s="72" t="s">
        <v>622</v>
      </c>
      <c r="C100" s="73">
        <v>99000000</v>
      </c>
      <c r="D100" s="73">
        <v>99000000</v>
      </c>
      <c r="E100" s="281"/>
      <c r="G100" s="14"/>
    </row>
    <row r="101" spans="2:7" ht="15.75">
      <c r="B101" s="72" t="s">
        <v>677</v>
      </c>
      <c r="C101" s="73"/>
      <c r="D101" s="73">
        <v>0</v>
      </c>
      <c r="E101" s="281"/>
      <c r="G101" s="14"/>
    </row>
    <row r="102" spans="2:7" ht="15.75">
      <c r="B102" s="72" t="s">
        <v>678</v>
      </c>
      <c r="C102" s="73"/>
      <c r="D102" s="73">
        <v>0</v>
      </c>
      <c r="E102" s="281"/>
      <c r="G102" s="14"/>
    </row>
    <row r="103" spans="2:7" ht="15.75">
      <c r="B103" s="72" t="s">
        <v>664</v>
      </c>
      <c r="C103" s="73"/>
      <c r="D103" s="73">
        <v>0</v>
      </c>
      <c r="E103" s="34"/>
      <c r="G103" s="14"/>
    </row>
    <row r="104" spans="2:7" ht="15.75">
      <c r="B104" s="72" t="s">
        <v>735</v>
      </c>
      <c r="C104" s="73"/>
      <c r="D104" s="73">
        <v>0</v>
      </c>
      <c r="E104" s="281"/>
      <c r="G104" s="14"/>
    </row>
    <row r="105" spans="2:7" ht="15.75">
      <c r="B105" s="72" t="s">
        <v>537</v>
      </c>
      <c r="C105" s="73"/>
      <c r="D105" s="73">
        <v>0</v>
      </c>
      <c r="E105" s="281"/>
      <c r="G105" s="14"/>
    </row>
    <row r="106" spans="2:7" ht="15.75">
      <c r="B106" s="72" t="s">
        <v>642</v>
      </c>
      <c r="C106" s="73">
        <v>23173097</v>
      </c>
      <c r="D106" s="73">
        <v>23173097</v>
      </c>
      <c r="E106" s="281"/>
      <c r="G106" s="14"/>
    </row>
    <row r="107" spans="2:7" ht="15.75">
      <c r="B107" s="72" t="s">
        <v>709</v>
      </c>
      <c r="C107" s="73">
        <v>1241120.1825000001</v>
      </c>
      <c r="D107" s="73">
        <v>1218467.2224999999</v>
      </c>
      <c r="E107" s="281"/>
      <c r="G107" s="14"/>
    </row>
    <row r="108" spans="2:7" ht="15.75">
      <c r="B108" s="72" t="s">
        <v>643</v>
      </c>
      <c r="C108" s="73"/>
      <c r="D108" s="73">
        <v>0</v>
      </c>
      <c r="E108" s="281"/>
      <c r="G108" s="14"/>
    </row>
    <row r="109" spans="2:7" ht="15.75">
      <c r="B109" s="72" t="s">
        <v>644</v>
      </c>
      <c r="C109" s="73">
        <v>81384930</v>
      </c>
      <c r="D109" s="73">
        <f>79899490-19949</f>
        <v>79879541</v>
      </c>
      <c r="E109" s="281"/>
      <c r="G109" s="14"/>
    </row>
    <row r="110" spans="2:7" ht="15.75">
      <c r="B110" s="72" t="s">
        <v>645</v>
      </c>
      <c r="C110" s="73">
        <v>330000</v>
      </c>
      <c r="D110" s="73">
        <v>165000</v>
      </c>
      <c r="E110" s="281"/>
      <c r="G110" s="14"/>
    </row>
    <row r="111" spans="2:7" ht="15.75">
      <c r="B111" s="72" t="s">
        <v>679</v>
      </c>
      <c r="C111" s="73"/>
      <c r="D111" s="73">
        <v>0</v>
      </c>
      <c r="E111" s="281"/>
      <c r="G111" s="14"/>
    </row>
    <row r="112" spans="2:7" ht="15.75">
      <c r="B112" s="75" t="s">
        <v>208</v>
      </c>
      <c r="C112" s="76">
        <f>SUM(C66:C111)</f>
        <v>648158702.1825</v>
      </c>
      <c r="D112" s="76">
        <f>SUM(D66:D111)</f>
        <v>618176678.22249997</v>
      </c>
      <c r="E112" s="27"/>
      <c r="G112" s="15"/>
    </row>
    <row r="113" spans="2:14" ht="15.75">
      <c r="B113" s="265"/>
      <c r="C113" s="266"/>
      <c r="D113" s="266"/>
      <c r="E113" s="27"/>
      <c r="G113" s="15"/>
    </row>
    <row r="114" spans="2:14" ht="15.75">
      <c r="B114" s="265"/>
      <c r="C114" s="266"/>
      <c r="D114" s="266">
        <v>0</v>
      </c>
      <c r="E114" s="27"/>
      <c r="G114" s="15"/>
    </row>
    <row r="115" spans="2:14" ht="15.75">
      <c r="B115" s="265"/>
      <c r="C115" s="266"/>
      <c r="D115" s="266"/>
      <c r="E115" s="27"/>
      <c r="G115" s="15"/>
    </row>
    <row r="117" spans="2:14">
      <c r="B117" s="158" t="s">
        <v>209</v>
      </c>
    </row>
    <row r="118" spans="2:14">
      <c r="B118" s="476" t="s">
        <v>210</v>
      </c>
      <c r="C118" s="476" t="s">
        <v>211</v>
      </c>
      <c r="D118" s="476"/>
      <c r="E118" s="476"/>
      <c r="F118" s="476"/>
      <c r="G118" s="476"/>
      <c r="H118" s="476" t="s">
        <v>212</v>
      </c>
      <c r="I118" s="476"/>
      <c r="J118" s="476"/>
      <c r="K118" s="476"/>
      <c r="L118" s="476"/>
      <c r="M118" s="476"/>
      <c r="N118" s="3"/>
    </row>
    <row r="119" spans="2:14">
      <c r="B119" s="476"/>
      <c r="C119" s="476" t="s">
        <v>213</v>
      </c>
      <c r="D119" s="476" t="s">
        <v>214</v>
      </c>
      <c r="E119" s="476" t="s">
        <v>215</v>
      </c>
      <c r="F119" s="476" t="s">
        <v>216</v>
      </c>
      <c r="G119" s="476" t="s">
        <v>217</v>
      </c>
      <c r="H119" s="476" t="s">
        <v>218</v>
      </c>
      <c r="I119" s="476" t="s">
        <v>214</v>
      </c>
      <c r="J119" s="476" t="s">
        <v>215</v>
      </c>
      <c r="K119" s="476" t="s">
        <v>219</v>
      </c>
      <c r="L119" s="476" t="s">
        <v>220</v>
      </c>
      <c r="M119" s="476" t="s">
        <v>221</v>
      </c>
      <c r="N119" s="3"/>
    </row>
    <row r="120" spans="2:14">
      <c r="B120" s="476"/>
      <c r="C120" s="476"/>
      <c r="D120" s="476"/>
      <c r="E120" s="476"/>
      <c r="F120" s="476"/>
      <c r="G120" s="476"/>
      <c r="H120" s="476"/>
      <c r="I120" s="476"/>
      <c r="J120" s="476"/>
      <c r="K120" s="476"/>
      <c r="L120" s="476"/>
      <c r="M120" s="476"/>
      <c r="N120" s="3"/>
    </row>
    <row r="121" spans="2:14">
      <c r="B121" s="476"/>
      <c r="C121" s="476"/>
      <c r="D121" s="476"/>
      <c r="E121" s="476"/>
      <c r="F121" s="476"/>
      <c r="G121" s="476"/>
      <c r="H121" s="476"/>
      <c r="I121" s="476"/>
      <c r="J121" s="476"/>
      <c r="K121" s="476"/>
      <c r="L121" s="476"/>
      <c r="M121" s="476"/>
      <c r="N121" s="3"/>
    </row>
    <row r="122" spans="2:14">
      <c r="B122" s="50" t="s">
        <v>222</v>
      </c>
      <c r="C122" s="249">
        <v>112596933</v>
      </c>
      <c r="D122" s="249">
        <v>0</v>
      </c>
      <c r="E122" s="249">
        <v>0</v>
      </c>
      <c r="F122" s="249">
        <v>0</v>
      </c>
      <c r="G122" s="249">
        <f>+D122+C122</f>
        <v>112596933</v>
      </c>
      <c r="H122" s="249">
        <v>91042429.155992106</v>
      </c>
      <c r="I122" s="249">
        <v>0</v>
      </c>
      <c r="J122" s="249">
        <v>0</v>
      </c>
      <c r="K122" s="249">
        <v>0</v>
      </c>
      <c r="L122" s="249">
        <f>SUM(H122:K122)</f>
        <v>91042429.155992106</v>
      </c>
      <c r="M122" s="249">
        <f>+G122-L122</f>
        <v>21554503.844007894</v>
      </c>
      <c r="N122" s="3"/>
    </row>
    <row r="123" spans="2:14">
      <c r="B123" s="50" t="s">
        <v>334</v>
      </c>
      <c r="C123" s="249">
        <v>154204659</v>
      </c>
      <c r="D123" s="249"/>
      <c r="E123" s="249">
        <v>0</v>
      </c>
      <c r="F123" s="249">
        <v>0</v>
      </c>
      <c r="G123" s="249">
        <f>SUM(C123:F123)</f>
        <v>154204659</v>
      </c>
      <c r="H123" s="249">
        <v>142456424.14604154</v>
      </c>
      <c r="I123" s="249">
        <v>0</v>
      </c>
      <c r="J123" s="249">
        <v>0</v>
      </c>
      <c r="K123" s="249">
        <v>0</v>
      </c>
      <c r="L123" s="249">
        <f>SUM(H123:K123)</f>
        <v>142456424.14604154</v>
      </c>
      <c r="M123" s="249">
        <f>+G123-L123</f>
        <v>11748234.853958458</v>
      </c>
      <c r="N123" s="3"/>
    </row>
    <row r="124" spans="2:14">
      <c r="B124" s="50" t="s">
        <v>335</v>
      </c>
      <c r="C124" s="249">
        <v>0</v>
      </c>
      <c r="D124" s="249">
        <v>0</v>
      </c>
      <c r="E124" s="249">
        <f>-C124</f>
        <v>0</v>
      </c>
      <c r="F124" s="249">
        <v>0</v>
      </c>
      <c r="G124" s="249">
        <f>SUM(C124:F124)</f>
        <v>0</v>
      </c>
      <c r="H124" s="249">
        <v>0</v>
      </c>
      <c r="I124" s="249">
        <v>0</v>
      </c>
      <c r="J124" s="249">
        <f>-H124</f>
        <v>0</v>
      </c>
      <c r="K124" s="249">
        <v>0</v>
      </c>
      <c r="L124" s="249">
        <f>SUM(H124:K124)</f>
        <v>0</v>
      </c>
      <c r="M124" s="249">
        <f>+G124-L124</f>
        <v>0</v>
      </c>
      <c r="N124" s="3"/>
    </row>
    <row r="125" spans="2:14">
      <c r="B125" s="77" t="s">
        <v>223</v>
      </c>
      <c r="C125" s="49">
        <f>SUM(C122:C124)</f>
        <v>266801592</v>
      </c>
      <c r="D125" s="49">
        <f t="shared" ref="D125:K125" si="0">SUM(D122:D124)</f>
        <v>0</v>
      </c>
      <c r="E125" s="49">
        <f t="shared" si="0"/>
        <v>0</v>
      </c>
      <c r="F125" s="49">
        <f t="shared" si="0"/>
        <v>0</v>
      </c>
      <c r="G125" s="49">
        <f>SUM(G122:G124)</f>
        <v>266801592</v>
      </c>
      <c r="H125" s="49">
        <f>SUM(H122:H124)</f>
        <v>233498853.30203366</v>
      </c>
      <c r="I125" s="49">
        <f t="shared" si="0"/>
        <v>0</v>
      </c>
      <c r="J125" s="49">
        <f t="shared" si="0"/>
        <v>0</v>
      </c>
      <c r="K125" s="49">
        <f t="shared" si="0"/>
        <v>0</v>
      </c>
      <c r="L125" s="49">
        <f>SUM(L122:L124)</f>
        <v>233498853.30203366</v>
      </c>
      <c r="M125" s="49">
        <f>+G125-L125-9</f>
        <v>33302729.697966337</v>
      </c>
      <c r="N125" s="3"/>
    </row>
    <row r="126" spans="2:14">
      <c r="B126" s="77" t="s">
        <v>224</v>
      </c>
      <c r="C126" s="49">
        <v>257672532</v>
      </c>
      <c r="D126" s="49">
        <v>9129060</v>
      </c>
      <c r="E126" s="49">
        <v>0</v>
      </c>
      <c r="F126" s="49">
        <v>0</v>
      </c>
      <c r="G126" s="49">
        <v>266801592</v>
      </c>
      <c r="H126" s="49">
        <v>222859791.03683394</v>
      </c>
      <c r="I126" s="49">
        <v>10639062.265199702</v>
      </c>
      <c r="J126" s="49">
        <v>0</v>
      </c>
      <c r="K126" s="49">
        <v>0</v>
      </c>
      <c r="L126" s="49">
        <v>233498853.30203366</v>
      </c>
      <c r="M126" s="49">
        <v>33302729.697966337</v>
      </c>
      <c r="N126" s="3"/>
    </row>
    <row r="129" spans="2:7">
      <c r="B129" s="163" t="s">
        <v>225</v>
      </c>
    </row>
    <row r="130" spans="2:7">
      <c r="B130" s="1"/>
    </row>
    <row r="131" spans="2:7">
      <c r="B131" s="475" t="s">
        <v>361</v>
      </c>
      <c r="C131" s="475" t="s">
        <v>179</v>
      </c>
      <c r="D131" s="475" t="s">
        <v>207</v>
      </c>
    </row>
    <row r="132" spans="2:7" ht="9.6" customHeight="1">
      <c r="B132" s="475"/>
      <c r="C132" s="475"/>
      <c r="D132" s="475"/>
    </row>
    <row r="133" spans="2:7" ht="15.75">
      <c r="B133" s="72" t="s">
        <v>378</v>
      </c>
      <c r="C133" s="73">
        <v>0</v>
      </c>
      <c r="D133" s="74">
        <v>0</v>
      </c>
      <c r="E133" s="34">
        <v>15</v>
      </c>
      <c r="G133" s="14"/>
    </row>
    <row r="134" spans="2:7" ht="15.75">
      <c r="B134" s="72" t="s">
        <v>378</v>
      </c>
      <c r="C134" s="73">
        <v>0</v>
      </c>
      <c r="D134" s="74">
        <v>0</v>
      </c>
      <c r="E134" s="34"/>
      <c r="G134" s="14"/>
    </row>
    <row r="135" spans="2:7" ht="15.75">
      <c r="B135" s="72"/>
      <c r="C135" s="73">
        <f>SUM(C133:C134)</f>
        <v>0</v>
      </c>
      <c r="D135" s="73">
        <f>SUM(D133:D134)</f>
        <v>0</v>
      </c>
      <c r="E135" s="34"/>
      <c r="G135" s="14"/>
    </row>
    <row r="136" spans="2:7" ht="15" customHeight="1">
      <c r="B136" s="8"/>
    </row>
    <row r="137" spans="2:7" ht="15.75" customHeight="1"/>
  </sheetData>
  <sortState xmlns:xlrd2="http://schemas.microsoft.com/office/spreadsheetml/2017/richdata2" ref="B66:N111">
    <sortCondition ref="B66:B111"/>
  </sortState>
  <mergeCells count="40">
    <mergeCell ref="M119:M121"/>
    <mergeCell ref="B49:B50"/>
    <mergeCell ref="C49:C50"/>
    <mergeCell ref="D49:D50"/>
    <mergeCell ref="L119:L121"/>
    <mergeCell ref="H118:M118"/>
    <mergeCell ref="C119:C121"/>
    <mergeCell ref="D119:D121"/>
    <mergeCell ref="E119:E121"/>
    <mergeCell ref="J119:J121"/>
    <mergeCell ref="K119:K121"/>
    <mergeCell ref="B64:B65"/>
    <mergeCell ref="C64:C65"/>
    <mergeCell ref="D64:D65"/>
    <mergeCell ref="G30:I30"/>
    <mergeCell ref="D31:D32"/>
    <mergeCell ref="E31:E32"/>
    <mergeCell ref="B36:D36"/>
    <mergeCell ref="F119:F121"/>
    <mergeCell ref="G119:G121"/>
    <mergeCell ref="C118:G118"/>
    <mergeCell ref="H119:H121"/>
    <mergeCell ref="I119:I121"/>
    <mergeCell ref="C56:C57"/>
    <mergeCell ref="D56:D57"/>
    <mergeCell ref="B37:D37"/>
    <mergeCell ref="B40:F40"/>
    <mergeCell ref="B46:F46"/>
    <mergeCell ref="B48:C48"/>
    <mergeCell ref="B131:B132"/>
    <mergeCell ref="C131:C132"/>
    <mergeCell ref="D131:D132"/>
    <mergeCell ref="B30:F30"/>
    <mergeCell ref="B118:B121"/>
    <mergeCell ref="B56:B57"/>
    <mergeCell ref="B4:E4"/>
    <mergeCell ref="B6:B7"/>
    <mergeCell ref="C6:C7"/>
    <mergeCell ref="D6:D7"/>
    <mergeCell ref="B28:D28"/>
  </mergeCells>
  <pageMargins left="0.70866141732283472" right="0.70866141732283472" top="0.74803149606299213" bottom="0.74803149606299213" header="0.31496062992125984" footer="0.31496062992125984"/>
  <pageSetup scale="41" orientation="portrait"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X+ve0ejOmsVU2ylPlvjkR0B6ptbBLXs+ZTB9gKEkjT7AN9LGfrcJ+wIV1YWIrmDYguJfOnbM3i+I
XHZmjJvCFQ==</DigestValue>
    </Reference>
    <Reference Type="http://www.w3.org/2000/09/xmldsig#Object" URI="#idOfficeObject">
      <DigestMethod Algorithm="http://www.w3.org/2001/04/xmlenc#sha512"/>
      <DigestValue>2l74RMG7qrb19dAtATBBJu8Ujd9CDJsyWOz3FYkg+fgZOVJ3Eskxk98XwyptHchFs0g1PLXASz4I
If2WwdHGqQ==</DigestValue>
    </Reference>
    <Reference Type="http://uri.etsi.org/01903#SignedProperties" URI="#idSignedProperties">
      <Transforms>
        <Transform Algorithm="http://www.w3.org/TR/2001/REC-xml-c14n-20010315"/>
      </Transforms>
      <DigestMethod Algorithm="http://www.w3.org/2001/04/xmlenc#sha512"/>
      <DigestValue>rUVf+Shm7YnO2Ay9ThqZNj35vo4rt0/TuT544wQzwU9mBUtKlX30VtMPrIyh6CFa8RujapVzKSfu
EUe1elnwlA==</DigestValue>
    </Reference>
  </SignedInfo>
  <SignatureValue>0n0LLoUohIB9ZA5JDHgDRCtWkVfGBQjeis5EhDSemEjphNRDEQWBhvtrbC9hcXcxOlcFDtJg1Are
bbHl+GlH2yhxtltMPqAIomm8/1QGGwukecR7NdIOLUbJdAS3t9oJdjzAblAI1OcZeb0ftx+4i6rr
yqgP/1WIHc7kChBWGsw3HaKq6dMxDo7b69uLdav/k5Q1PUUTudJf0xpODVjP/IeDlx9e5Y+yauPu
7qAF6Lv6SXl16htA5sGDqe9z4PRaBzeW2QB+NhD42sD+CSKFspRKQoD4GEPCMfflTumE51b+pCJ5
CpCuU+kglOXsImbidL3ik4Z4je8qB1N0eoVIhQ==</SignatureValue>
  <KeyInfo>
    <X509Data>
      <X509Certificate>MIIHsTCCBZmgAwIBAgIRANeoWG7pko+GTmEfYzKtYo0wDQYJKoZIhvcNAQENBQAwgYUxCzAJBgNVBAYTAlBZMQ0wCwYDVQQKEwRJQ1BQMTgwNgYDVQQLEy9QcmVzdGFkb3IgQ3VhbGlmaWNhZG8gZGUgU2VydmljaW9zIGRlIENvbmZpYW56YTEVMBMGA1UEAxMMQ09ERTEwMCBTLkEuMRYwFAYDVQQFEw1SVUM4MDA4MDYxMC03MB4XDTIzMDcyNzE5MTAzNloXDTI1MDcyNzE5MTAzNlowgcMxCzAJBgNVBAYTAlBZMTYwNAYDVQQKDC1DRVJUSUZJQ0FETyBDVUFMSUZJQ0FETyBERSBGSVJNQSBFTEVDVFLDk05JQ0ExCzAJBgNVBAsTAkYyMRwwGgYDVQQEExNCVVNUTyBERSBBUlpBTUVORElBMRQwEgYDVQQqEwtET1JBIElTQUJFTDEoMCYGA1UEAxMfRE9SQSBJU0FCRUwgQlVTVE8gREUgQVJaQU1FTkRJQTERMA8GA1UEBRMIQ0k2OTA3ODEwggEiMA0GCSqGSIb3DQEBAQUAA4IBDwAwggEKAoIBAQDYu7xtcgK+A7l5jFA7ROLNukX+pNjnMPTq03v5eu2US8GHWk0SeL+Mvg0SiVINS+EdjMT9hGDMdvw6I7B+GtDP6KsGQW8RK9KyS744IkI7bPPlszop/ye9sVPJiqKa6EXtSZNOBA3gozBcErVoPWcAi64Ism052hcUp8uiP2Y4y4JgJ5iMHUvnsFU86pKesB0fw248jFqDM08lXCzSKS4tkBFGKSvEIDnyCi44WyuEX6iimlS3wFN76QVGY35jVdIfzy1lfZpU7fLk99L6SKF+Y/Lujrh0ufCLddSUWg0xrWZadDoD3vkDO43rqs4JBPRrE7/l2AS8mVbxd8W7zs4jAgMBAAGjggLaMIIC1jAMBgNVHRMBAf8EAjAAMB0GA1UdDgQWBBRRKN27eArg3d8ZsFaxrB0bAJVGhTAfBgNVHSMEGDAWgBS+NVRiaGDnJtMxwV+XseL2ZM4H9TAOBgNVHQ8BAf8EBAMCBeAwUQYDVR0RBEowSIEZRE9SQS5BUlpBTUVORElBQEdNQUlMLkNPTaQrMCkxJzAlBgNVBA0MHkZJUk1BIEVMRUNUUsOTTklDQSBDVUFMSUZJQ0FEQTCB9wYDVR0gBIHvMIHsMIHpBgsrBgEEAYOucAEBBDCB2TBGBggrBgEFBQcCARY6aHR0cHM6Ly9jb2RlMTAwLmNvbS5weS9yZXBvc2l0b3Jpby1kZS1kb2N1bWVudG9zLXB1YmxpY29zLzCBjgYIKwYBBQUHAgIwgYEMf2NlcnRpZmljYWRvIGN1YWxpZmljYWRvIGRlIGZpcm1hIGVsZWN0csOzbmljYSB0aXBvIEYyIHN1amV0YSBhIGxhcyBjb25kaWNpb25lcyBkZSB1c28gZXhwdWVzdGFzIGVuIGxhIERQQyBkZWwgUENTQyBDT0RFMTAwIFMuQS4wewYDVR0fBHQwcjA3oDWgM4YxaHR0cDovL3BjYTEuY29kZTEwMC5jb20ucHkvY3Jscy9jYS1jb2RlMTAwLXNhLmNybDA3oDWgM4YxaHR0cDovL3BjYTIuY29kZTEwMC5jb20ucHkvY3Jscy9jYS1jb2RlMTAwLXNhLmNybDAgBgNVHSUBAf8EFjAUBggrBgEFBQcDAgYIKwYBBQUHAwQwgYkGCCsGAQUFBwEBBH0wezA5BggrBgEFBQcwAYYtaHR0cDovL29jc3AuY29kZTEwMC5jb20ucHkvb2NzcC9jYS1jb2RlMTAwLXNhMD4GCCsGAQUFBzAChjJodHRwOi8vcGNhMS5jb2RlMTAwLmNvbS5weS9jZXJ0cy9jYS1jb2RlMTAwLXNhLmNlcjANBgkqhkiG9w0BAQ0FAAOCAgEANnMIjJnVm+hZaDBhvEjAIo8ydVQDurmlf7Is0q2TbIwD1Q/2J7x/WnTFGi5LA1Xg7irO+GxlWET0X66r0zNuci+DB46VQIupidcSWBSVPhlKP+kqL6RYbRZxGaQnG6SFD6PV5fG5XBWu7Cu8Pq8YEDQtqZG/hzHh40DsNyF/h6hIgQzJ4uSLpBjJV7HWZGy1h8k4ebcHn2cFKBtH9suFAkRT2l/hYwM5xi5VLp+uqK9qRqhrgTG6OC9jjuEZQnri6Fv+thUz4nPYATusPMFZtjixIsAzCPylFbonZU6BK9Z4ubF3w3HWypW2LNtTRWNfetVHRJDqdC8exsKNvlcEkxgxLSc6n5GN/etPs3LNm5tiZrdGN4fK0fvc3P7RMugwzXePhmd5eEU3IDaaJ2eslNPC3kma4dOpDkPMdxuMGiNuRjbd1n1rV3FTj70yo1MM3nrHOZOkwLnFPEHr8ROO9dDfXu/oxDMNfvGHB3HMYUzSBU1/x7D/In2tB2osRsdqJbfExDs1SFbbVJF4Th1+pUPCmoAJgIGqIpeBO7qzMufT/B7xR30N9wOpbFWOY9DMlMpCWxC7uEJuBjbIYpebznT4vukkGwiMlqvD0+2bG5tqHvAbTZ0YVbpfzJ3CYbu2X1RoGM11WPMQL0zWbRQ91Z4544sJGIQxIjs5PbToD1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512"/>
        <DigestValue>KN72y0ON+DpTlmUG0l09tiO3KtF3VuQ5K9yesJJzIDrYor8ptZxpSgmx8HgWW2I7FddOHFGoJ2nanGCzYcC6wQ==</DigestValue>
      </Reference>
      <Reference URI="/xl/calcChain.xml?ContentType=application/vnd.openxmlformats-officedocument.spreadsheetml.calcChain+xml">
        <DigestMethod Algorithm="http://www.w3.org/2001/04/xmlenc#sha512"/>
        <DigestValue>v7U70JZK+73IilAuVS/jXCLy3UydkfKjBjpGlG2s2EbzyD9MMcSA2dkYYwijJDzm5XH0cTCOeJnBWg0VzNDdIA==</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drawing1.xml?ContentType=application/vnd.openxmlformats-officedocument.drawing+xml">
        <DigestMethod Algorithm="http://www.w3.org/2001/04/xmlenc#sha512"/>
        <DigestValue>mk/1fe8SwRJG2EXKq0fUMIfPAl3FS6xRuaVrZ/IH3jxIJmoWCTcO5cG9PgoJgfpLP4oafRobtvMafPJH8yIOjA==</DigestValue>
      </Reference>
      <Reference URI="/xl/media/image1.png?ContentType=image/png">
        <DigestMethod Algorithm="http://www.w3.org/2001/04/xmlenc#sha512"/>
        <DigestValue>sGnGlaB3VK7Fhq86u6kcy/9OgajIuQHPQKbDinyEKSl5D4YPw9rUKi6SWqIKYBjts7kA/Gu4azKrYukz5mRb6A==</DigestValue>
      </Reference>
      <Reference URI="/xl/printerSettings/printerSettings1.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10.bin?ContentType=application/vnd.openxmlformats-officedocument.spreadsheetml.printerSettings">
        <DigestMethod Algorithm="http://www.w3.org/2001/04/xmlenc#sha512"/>
        <DigestValue>U2UG8AE6Sj2tYMTb8rPFQ68InglqYOfdsi0XuOE5PI1drL1p71X2fr4140J5Bjm9uZuQqQ8rT1p4hJsNljL89g==</DigestValue>
      </Reference>
      <Reference URI="/xl/printerSettings/printerSettings11.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12.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13.bin?ContentType=application/vnd.openxmlformats-officedocument.spreadsheetml.printerSettings">
        <DigestMethod Algorithm="http://www.w3.org/2001/04/xmlenc#sha512"/>
        <DigestValue>U2UG8AE6Sj2tYMTb8rPFQ68InglqYOfdsi0XuOE5PI1drL1p71X2fr4140J5Bjm9uZuQqQ8rT1p4hJsNljL89g==</DigestValue>
      </Reference>
      <Reference URI="/xl/printerSettings/printerSettings14.bin?ContentType=application/vnd.openxmlformats-officedocument.spreadsheetml.printerSettings">
        <DigestMethod Algorithm="http://www.w3.org/2001/04/xmlenc#sha512"/>
        <DigestValue>U2UG8AE6Sj2tYMTb8rPFQ68InglqYOfdsi0XuOE5PI1drL1p71X2fr4140J5Bjm9uZuQqQ8rT1p4hJsNljL89g==</DigestValue>
      </Reference>
      <Reference URI="/xl/printerSettings/printerSettings2.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3.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4.bin?ContentType=application/vnd.openxmlformats-officedocument.spreadsheetml.printerSettings">
        <DigestMethod Algorithm="http://www.w3.org/2001/04/xmlenc#sha512"/>
        <DigestValue>67laqE1rOv9Z8EPuTh+wmwJgop8TjqbxhOD0jOfEvCL529rlhXm4FfZIpOa54sBvvujSwiVh0/Lh3hm0aTQxuw==</DigestValue>
      </Reference>
      <Reference URI="/xl/printerSettings/printerSettings5.bin?ContentType=application/vnd.openxmlformats-officedocument.spreadsheetml.printerSettings">
        <DigestMethod Algorithm="http://www.w3.org/2001/04/xmlenc#sha512"/>
        <DigestValue>bhTXX4PhdK2wQdOC/oUXos+irptJYFAnk7/FV9cKphjJJXlh4TROMENlNvRz76Y7kSW6TNKU3vh+r+wt73aEPA==</DigestValue>
      </Reference>
      <Reference URI="/xl/printerSettings/printerSettings6.bin?ContentType=application/vnd.openxmlformats-officedocument.spreadsheetml.printerSettings">
        <DigestMethod Algorithm="http://www.w3.org/2001/04/xmlenc#sha512"/>
        <DigestValue>3JA5iK7ymZeCz4WoVqqrPGQtffiv3z/oacJGIWd+NllfCxP4dKgNnLKwxjPi1304hRKvOF4KVwqbIwGz+RQ9FA==</DigestValue>
      </Reference>
      <Reference URI="/xl/printerSettings/printerSettings7.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8.bin?ContentType=application/vnd.openxmlformats-officedocument.spreadsheetml.printerSettings">
        <DigestMethod Algorithm="http://www.w3.org/2001/04/xmlenc#sha512"/>
        <DigestValue>U2UG8AE6Sj2tYMTb8rPFQ68InglqYOfdsi0XuOE5PI1drL1p71X2fr4140J5Bjm9uZuQqQ8rT1p4hJsNljL89g==</DigestValue>
      </Reference>
      <Reference URI="/xl/printerSettings/printerSettings9.bin?ContentType=application/vnd.openxmlformats-officedocument.spreadsheetml.printerSettings">
        <DigestMethod Algorithm="http://www.w3.org/2001/04/xmlenc#sha512"/>
        <DigestValue>x8fsyKeU29XV4Vjxz2IBl3tNm7mETrTYXD1lAZQaW4LdoVxiE01ElAu9AbJzamW6iUbiSZEZIFL8tY6DvofucQ==</DigestValue>
      </Reference>
      <Reference URI="/xl/sharedStrings.xml?ContentType=application/vnd.openxmlformats-officedocument.spreadsheetml.sharedStrings+xml">
        <DigestMethod Algorithm="http://www.w3.org/2001/04/xmlenc#sha512"/>
        <DigestValue>ezCZfOLo7KXm86QNhV2zXyl9XtdH8uEgjPv7p9WXICOG7klBPpNiWrwisRkS/6Gc2c1zT606JUP0Wq/IXycPqA==</DigestValue>
      </Reference>
      <Reference URI="/xl/styles.xml?ContentType=application/vnd.openxmlformats-officedocument.spreadsheetml.styles+xml">
        <DigestMethod Algorithm="http://www.w3.org/2001/04/xmlenc#sha512"/>
        <DigestValue>NOnnbVmEAl4i1AUjICo8i9IBCmM6XtcIq0tGfVuS3v8HCINlgUAN1gr9jconGjVv7WquSwwmHlt3S5kCCPKcDA==</DigestValue>
      </Reference>
      <Reference URI="/xl/theme/theme1.xml?ContentType=application/vnd.openxmlformats-officedocument.theme+xml">
        <DigestMethod Algorithm="http://www.w3.org/2001/04/xmlenc#sha512"/>
        <DigestValue>4YX2YO+IwmgIeCECjAosqkC1WFa32CrS3Sh3aZEhxqcaHn9KH9PPnkmaIj0MdutZXGL72V/ex+TpWUL+O5V2kQ==</DigestValue>
      </Reference>
      <Reference URI="/xl/workbook.xml?ContentType=application/vnd.openxmlformats-officedocument.spreadsheetml.sheet.main+xml">
        <DigestMethod Algorithm="http://www.w3.org/2001/04/xmlenc#sha512"/>
        <DigestValue>u+QhljmAXFNN9n/ZufWBuiZnTh41guSNmQOisdmrQfjCnu4zSFFp71ajfMi0ZwQk8gyB/l/C8buCrjpVVHJLvQ==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xoXcPe1fboSSW3jC7V712yNxnIoMxn9134kCupKFdevFmuq9uKnYmiRxaZi6UUAs4VOi9PbWzGqSaIMWcVrCog==</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RMTbTS9KDPzl5gZVwBN+WnYlTthstSMkvSCyJ/0bLFF7OIQ1EGFaWZMwKE97ITlZg+h8cArM0WFWiJjG88dHZQ==</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9Ybkyr4x1pgKK1vc/COgizxGpPm8MIooOax5BqI4Z0YrVw6BVYmzUcPStphcXDbnD/xYUk++j+pL9uE8vGKVpw==</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f+EmU15wY0uaGN3B3i6RbOg17LdjV9J91hrQYBzq0zwVbYePPIuxcaRH1N+Mv/6k3dIiJSvE+XkDUllpGkHhjQ==</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Zk2ic4JqlIrKpgRkhaX4deVHHZJe/D3pGldOnJc7k6fu476R3FrEXRQSGOSciEMrgpzlbhfL0atfhpfluOK9Xw==</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uifXjk/ic7ohFQmCwNbBB6R11ocTSCI/Zn92wkFYJV6RTe4ZWFJRtCSHIXwgSTnywQrVlCQP0xdDkfKnqPeJjA==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0uqUbitQEkFdWpeOiyEP0UI9PF+erYBsDGjZt5VnyJYq75iauMR/EQYY0Siw2JO9VoNYafUYPcXKAiLATBF8EA==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o3F3AzWS1hgq63c57m8ZaQlBHg5HNKal6s+YxmaXzrvVPoWMvx7keLP4hw2k5lnz6mybha4zPsg+0Hq6htIUig==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jw1QqfbWHizd7QCq+FcRJWFTa8VbdGYdXduERiZd7XsoeJKA9HYr9/shgWbvhbBRh0rW8ZrjnKV0NMGHxc23QQ==</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HAG6rOQyCkAMBGgInYe7Cjy1hJP0DLTipwiZe2dK8gwL/UKPnAD0y5GulzcLXRdqA3Kisf/Gxm2ZoH4RvGUJzA==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0s/mCbHmwelOJKcbz+I+WetuvXoWZe1N9pQQv89a+R7PY1eN06ZUeILd69KAuc/ZBZQ20fYmOyAQBUDJAy2clw==</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a57Yte67sO1xKm/Lt7wHiYEDEmltTHh5DVww52wijoJsydsQhpsy7lsLP+yBVpOMmBlOWc5s/1KOM6YWSPt+tw==</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LUq/3XJmkISgBnELhVekBJN0Xr4EBVNaTdEBzrfh9AuwmWDWbHF6dZwnA3RZQ4brb/WBiWlf3i14rA3ZFUZDlQ==</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gMAYCtdjsXxVjD1BBZDvY+Pi2WXJZy+yuhXHdPUgNlt+f5D2Ee18rq8E6DgMlFJsGiJWvYfxzo+rXz/RgXijkA==</DigestValue>
      </Reference>
      <Reference URI="/xl/worksheets/sheet1.xml?ContentType=application/vnd.openxmlformats-officedocument.spreadsheetml.worksheet+xml">
        <DigestMethod Algorithm="http://www.w3.org/2001/04/xmlenc#sha512"/>
        <DigestValue>bAgVzjPI/OlV2wNtJBtJMCDfr+6hAhvd9tmH509FA1NPaff8AUjkl2I0X37wH5ogYGxS6i6Wv5uZCJMHXGNG0g==</DigestValue>
      </Reference>
      <Reference URI="/xl/worksheets/sheet10.xml?ContentType=application/vnd.openxmlformats-officedocument.spreadsheetml.worksheet+xml">
        <DigestMethod Algorithm="http://www.w3.org/2001/04/xmlenc#sha512"/>
        <DigestValue>NEl4I4WszTavVFalqLVrqD/U57jJTR0QB16sCU4MSZ5E9wrUlbggJwtiyx0ioJO1Brudlnpe634JCc8TlwAUYg==</DigestValue>
      </Reference>
      <Reference URI="/xl/worksheets/sheet11.xml?ContentType=application/vnd.openxmlformats-officedocument.spreadsheetml.worksheet+xml">
        <DigestMethod Algorithm="http://www.w3.org/2001/04/xmlenc#sha512"/>
        <DigestValue>5enbl3bY4jAF8oDN7C2myyw3EklF03iNSRhLweFtBCiaXa+C73CG96lKd/v8RjPVq9ivnEpR1o7XkOmC33xtbA==</DigestValue>
      </Reference>
      <Reference URI="/xl/worksheets/sheet12.xml?ContentType=application/vnd.openxmlformats-officedocument.spreadsheetml.worksheet+xml">
        <DigestMethod Algorithm="http://www.w3.org/2001/04/xmlenc#sha512"/>
        <DigestValue>Fo8F+9hF5ZWcdXOE4cry6g74gZgrjltGwpaPqAgYf+7A/K5HY7J91PVNIPsv8PGgEOFMBz3sOUPoQ/3j6R9/Cg==</DigestValue>
      </Reference>
      <Reference URI="/xl/worksheets/sheet13.xml?ContentType=application/vnd.openxmlformats-officedocument.spreadsheetml.worksheet+xml">
        <DigestMethod Algorithm="http://www.w3.org/2001/04/xmlenc#sha512"/>
        <DigestValue>sWDoab0JjS2THZ24i5yEo+Lil8xX9mXx2JU+Oy463AZiahPYTI0vm39fxdAs4HBv3ezHZPdZRqQCT/sbTiMwCw==</DigestValue>
      </Reference>
      <Reference URI="/xl/worksheets/sheet14.xml?ContentType=application/vnd.openxmlformats-officedocument.spreadsheetml.worksheet+xml">
        <DigestMethod Algorithm="http://www.w3.org/2001/04/xmlenc#sha512"/>
        <DigestValue>cbYGPI2J4LZyhsaaFN2lX8TJzXL+ZxtqyqFiHLP3qdAInTyzuf3TgMb2CKAPByp6NIYDubnxsHvyTrt1vgN3CQ==</DigestValue>
      </Reference>
      <Reference URI="/xl/worksheets/sheet2.xml?ContentType=application/vnd.openxmlformats-officedocument.spreadsheetml.worksheet+xml">
        <DigestMethod Algorithm="http://www.w3.org/2001/04/xmlenc#sha512"/>
        <DigestValue>77YnCIb8ya44AOc/Ve/opKhcJVjvzAHdEzVlCtMgI76XUbKlJTwm9ewdMRUZx3fFjCPERVaBHuZoU8cszTpkNw==</DigestValue>
      </Reference>
      <Reference URI="/xl/worksheets/sheet3.xml?ContentType=application/vnd.openxmlformats-officedocument.spreadsheetml.worksheet+xml">
        <DigestMethod Algorithm="http://www.w3.org/2001/04/xmlenc#sha512"/>
        <DigestValue>Y4FlcfBM/Sodkn5alyJiCH6wvDWC9AMMrfnfGDCEGU175wwvx5FVaOIbkHf+BevLkfdZdOh0Z1NPPR7gY8abag==</DigestValue>
      </Reference>
      <Reference URI="/xl/worksheets/sheet4.xml?ContentType=application/vnd.openxmlformats-officedocument.spreadsheetml.worksheet+xml">
        <DigestMethod Algorithm="http://www.w3.org/2001/04/xmlenc#sha512"/>
        <DigestValue>A/ZyWdpwkF9P6Sv/YY/1abofI5eD+JFxFheaVdobV3EZgZJoMC4U5/WvELxgGHiKWO9zyO4yz5474Cmrcov0ZQ==</DigestValue>
      </Reference>
      <Reference URI="/xl/worksheets/sheet5.xml?ContentType=application/vnd.openxmlformats-officedocument.spreadsheetml.worksheet+xml">
        <DigestMethod Algorithm="http://www.w3.org/2001/04/xmlenc#sha512"/>
        <DigestValue>uIEX3uvIMNfULethnD9I8YHFcxjWze494uEuvzlJt6qzSBWaZqKCSdLS8+SyWbecty2/q0J5tiWBx9WG/CNoVQ==</DigestValue>
      </Reference>
      <Reference URI="/xl/worksheets/sheet6.xml?ContentType=application/vnd.openxmlformats-officedocument.spreadsheetml.worksheet+xml">
        <DigestMethod Algorithm="http://www.w3.org/2001/04/xmlenc#sha512"/>
        <DigestValue>VaIfy2L2cI4itg9zQCPN73oT4a0Mug++ykNYwDbPCUhRI89GfDM3l/tt99mp5Da/YVbYcguRHlC8Ma9Jw+sg7A==</DigestValue>
      </Reference>
      <Reference URI="/xl/worksheets/sheet7.xml?ContentType=application/vnd.openxmlformats-officedocument.spreadsheetml.worksheet+xml">
        <DigestMethod Algorithm="http://www.w3.org/2001/04/xmlenc#sha512"/>
        <DigestValue>TwnO0hhme2B8/H6GCxVLLpvJFOekh8i9rpq1ZiSgBMQVloVnL09z+emUUA6iUvdByiQVKu+XAcEAWna3WsEO5A==</DigestValue>
      </Reference>
      <Reference URI="/xl/worksheets/sheet8.xml?ContentType=application/vnd.openxmlformats-officedocument.spreadsheetml.worksheet+xml">
        <DigestMethod Algorithm="http://www.w3.org/2001/04/xmlenc#sha512"/>
        <DigestValue>7RvjQgPVc+cvi0d9qWfeQIc9GCwbsJuha1jiGNtlf/tCH9+l7iu+R6zr+YA89IhKLPSypc9CI9CRAu2WreDkNQ==</DigestValue>
      </Reference>
      <Reference URI="/xl/worksheets/sheet9.xml?ContentType=application/vnd.openxmlformats-officedocument.spreadsheetml.worksheet+xml">
        <DigestMethod Algorithm="http://www.w3.org/2001/04/xmlenc#sha512"/>
        <DigestValue>K1pITfUz4yNJzM39UGsyXukgQe/J1wavEE32o3Px6b24Ye942U7PdTKZjKvQNxx1hMd/KxsUntjQ1KF7LqLifg==</DigestValue>
      </Reference>
    </Manifest>
    <SignatureProperties>
      <SignatureProperty Id="idSignatureTime" Target="#idPackageSignature">
        <mdssi:SignatureTime xmlns:mdssi="http://schemas.openxmlformats.org/package/2006/digital-signature">
          <mdssi:Format>YYYY-MM-DDThh:mm:ssTZD</mdssi:Format>
          <mdssi:Value>2024-05-16T13:24:33Z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Contador</SignatureComments>
          <WindowsVersion>10.0</WindowsVersion>
          <OfficeVersion>16.0.17531/26</OfficeVersion>
          <ApplicationVersion>16.0.17531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2024-05-16T13:24:33Z</xd:SigningTime>
          <xd:SigningCertificate>
            <xd:Cert>
              <xd:CertDigest>
                <DigestMethod Algorithm="http://www.w3.org/2001/04/xmlenc#sha512"/>
                <DigestValue>jYMbf7K8OpJp/ySEUH+A/jYFcn2qVj8v1Y886cmKocZ3Tzrp4V6qy5O8ZUn9Ejw0nYMMZxinTQT51pA5yefxeg==</DigestValue>
              </xd:CertDigest>
              <xd:IssuerSerial>
                <X509IssuerName>SERIALNUMBER=RUC80080610-7, CN=CODE100 S.A., OU=Prestador Cualificado de Servicios de Confianza, O=ICPP, C=PY</X509IssuerName>
                <X509SerialNumber>286658118605420949865941807018869088909</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http://uri.etsi.org/01903/v1.2.2#ProofOfCreation</xd:Identifier>
              <xd:Description>Creó este documento</xd:Description>
            </xd:CommitmentTypeId>
            <xd:AllSignedDataObjects/>
            <xd:CommitmentTypeQualifiers>
              <xd:CommitmentTypeQualifier>Contador</xd:CommitmentTypeQualifier>
            </xd:CommitmentTypeQualifiers>
          </xd:CommitmentTypeIndication>
        </xd:SignedDataObject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WuAxr3qom6S7r7TUU3tLmcLA8xeDCZPHciVLgTnlfqg=</DigestValue>
    </Reference>
    <Reference Type="http://www.w3.org/2000/09/xmldsig#Object" URI="#idOfficeObject">
      <DigestMethod Algorithm="http://www.w3.org/2001/04/xmlenc#sha256"/>
      <DigestValue>hLlE9ilaYASjz+v5oKQ1s5/jMdMPZGRPumbaaaYst+8=</DigestValue>
    </Reference>
    <Reference Type="http://uri.etsi.org/01903#SignedProperties" URI="#idSignedProperties">
      <Transforms>
        <Transform Algorithm="http://www.w3.org/TR/2001/REC-xml-c14n-20010315"/>
      </Transforms>
      <DigestMethod Algorithm="http://www.w3.org/2001/04/xmlenc#sha256"/>
      <DigestValue>Tqe7E0mQ1+L/sRwH+n+zpo/3Wkf5gMuyZ8/qkdRue9w=</DigestValue>
    </Reference>
  </SignedInfo>
  <SignatureValue>eztjKvLO4YODzNuXn5XFvDpyk5Tay7ZBj506gGpOQusmoaPfiyt0CAS+n3ZbmBgCOw7M38EJjpFL
QxE9bA7NNbcpQ/lFnRHn6RnyfIaDiZUIDgVatVDNbmt7PzzqZI3p6L29ihLVinv9ziy61eXuf6ZI
e9WdWenvA5eGgc/CCkEK0OQ+DO5qDgxSDidMtE7o/EAQCNtVShRfTu4mCJ0Zwt7hFAYBhdmJPiiP
Ftk7T7K5HFmbS3f/n/KuZWNAIeZ3MVECs8GC/Q2r/QMXmuUVfljEnWpv7RrKuhilkYnq4ldgLzXz
E2E0NkbGCVD9Jm18LRbX/oZprWQ1uOLxD4eDag==</SignatureValue>
  <KeyInfo>
    <X509Data>
      <X509Certificate>MIIHzjCCBbagAwIBAgIQL7XpHmPRuchin226JlbAVzANBgkqhkiG9w0BAQsFADBPMRcwFQYDVQQFEw5SVUMgODAwODAwOTktMDELMAkGA1UEBhMCUFkxETAPBgNVBAoMCFZJVCBTLkEuMRQwEgYDVQQDEwtDQS1WSVQgUy5BLjAeFw0yMjA2MDcxNTI0NDJaFw0yNDA2MDcxNTI0NDJaMIGlMRYwFAYDVQQqDA1EQU5JRUwgQU5EUkVTMRcwFQYDVQQEDA5NT1JFTk8gQk9HQVJJTjESMBAGA1UEBRMJQ0kxMDEyODI1MSUwIwYDVQQDDBxEQU5JRUwgQU5EUkVTIE1PUkVOTyBCT0dBUklOMREwDwYDVQQLDAhGSVJNQSBGMjEXMBUGA1UECgwOUEVSU09OQSBGSVNJQ0ExCzAJBgNVBAYTAlBZMIIBIjANBgkqhkiG9w0BAQEFAAOCAQ8AMIIBCgKCAQEAuRNzv8CdocoOQsAA26dRPkZNawmuV0R95x/Q6aKtzipJodEiww+U7wir+hKSfLrpYFmt1RjKpFpUpQtr/kZPejR4olEsFn3cHqnMa7pivFLG0/qQlOWTN3Lhu2YQUyI0MPwXk3QxVc2OKZxw1DFdS11Z0Vue9YGsHnrUUbDE5jZgIlkN/E1P+PzSMuFYQxlXIbuadtlUh/e+G9UqqU+gYoODyWMpLJSitCsn5dfOAZgxoDxMXlDNTadrCvBhiWTEFx0EP6B3iJZn4WsuB+yaZTc1G2vXWdpwtXcVU9eIqzNG72OfXX3G9tP62TVDDWwwTO0jCpPLv+/YihPBwvngawIDAQABo4IDTTCCA0kwDAYDVR0TAQH/BAIwADAOBgNVHQ8BAf8EBAMCBeAwLAYDVR0lAQH/BCIwIAYIKwYBBQUHAwQGCCsGAQUFBwMCBgorBgEEAYI3FAICMB0GA1UdDgQWBBRdOFaaIbDK/Fqdy8VH8JYmtnKkKTAfBgNVHSMEGDAWgBQDY3yfbVpypVORtNvskfsDX3x8nTCCAdgGA1UdIASCAc8wggHLMIIBxwYMKwYBBAGC2UoBAQEHMIIBtTAxBggrBgEFBQcCARYlaHR0cHM6Ly93d3cuZWZpcm1hLmNvbS5weS9yZXBvc2l0b3JpbzCBxgYIKwYBBQUHAgIwgbkagbZFc3RlIGVzIHVuIGNlcnRpZmljYWRvIFRpcG8gRjIgZGUgcGVyc29uYSBm7XNpY2EgY3V5YSBjbGF2ZSBwcml2YWRhIGVzdOEgYWxtYWNlbmFkYSBlbiB1biBt82R1bG8gZGUgaGFyZHdhcmUgeSBzb24gdXRpbGl6YWRhcyBwYXJhIGF1dGVudGljYXIgYSBzdSB0aXR1bGFyIHkgZ2VuZXJhciBmaXJtYXMgZGlnaXRhbGVzLjCBtgYIKwYBBQUHAgIwgakagaZUaGlzIGlzIGEgVHlwZSBGMiBjZXJ0aWZpY2F0ZSBvZiBwaHlzaWNhbCBwZXJzb24gd2hvc2UgcHJpdmF0ZSBrZXkgaXMgc3RvcmVkIGluIGEgaGFyZHdhcmUgbW9kdWxlIGFuZCB1c2VkIHRvIGF1dGhlbnRpY2F0ZSB0aGUgaG9sZGVyIGFuZCBnZW5lcmF0ZSBkaWdpdGFsIHNpZ25hdHVyZXMuMCMGA1UdEQQcMBqBGERBTklFTE1PUkVOTzc2QEdNQUlMLkNPTTB2BggrBgEFBQcBAQRqMGgwKAYIKwYBBQUHMAGGHGh0dHBzOi8vd3d3LmVmaXJtYS5jb20ucHkvdmEwPAYIKwYBBQUHMAKGMGh0dHBzOi8vd3d3LmVmaXJtYS5jb20ucHkvcmVwb3NpdG9yaW8vZWZpcm1hLmNydDBCBgNVHR8EOzA5MDegNaAzhjFodHRwczovL3d3dy5lZmlybWEuY29tLnB5L3JlcG9zaXRvcmlvL2VmaXJtYTEuY3JsMA0GCSqGSIb3DQEBCwUAA4ICAQARmhN8V4KxD0p7Zkr78CLtgXL3zW1oCuIgRWVNfgNOmiQ1bBF9EbtGHLQuH24wshZMBUXgHrGDxTiCqIgGg5zGsB0mmw5FbK7MaZ+hs3abdZZyriDBOkQDyGCBI/CdwYcNSOwolACXY1owmCz/XACWerMInMt5SXtTymyElxEjMK//fIBws3UNKEBj/i5MGndZtXRSz++nxv3HjvC5FpRHEDz8lYb/7x6k3XfSQNDdWgnn9Z5VPQjTqrN3SmyKbTNjwgL9gkKcp9YG5zE5gePNuRNbI5mgQ1AxyHT3fq4dhZtMz2VnOhF0/xqVM03OdUzdxUmrcDO7gknYYiUjCdHtHkqbC6BGzkI0MMDDAhg/HJpmQ52Q5vaqm/D2cYsWRIM3r6esppgLMWuxtMOs2g0S3oAzC3NhHB0iI2+Ud4sx2E9XlP9HJyPjZwP86KubviPgtE0a+9X3DgNY2LOoI2F0BcUkasCm3xDCevKSyn0B3e2jCl7gOLJApBPydBliNBsNYmE7v33f/A+DN9CoZ4pUlIV8jsPRLUsOoAsZH3Ut6yd7NrIAl/uy1Z9nFGNW/2dFCAap3MIAAHase0I/OaSfSOLKc8GuGLCUS+xZu64m+qtw7Evlef4KS7oajLAcWLGBD+1brwdrSPHbTbE9N2MQRNZYKAX+ZGjZzOdthQVhr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Transform>
          <Transform Algorithm="http://www.w3.org/TR/2001/REC-xml-c14n-20010315"/>
        </Transforms>
        <DigestMethod Algorithm="http://www.w3.org/2001/04/xmlenc#sha256"/>
        <DigestValue>RHv6wvths29Dpm97gH9cbkxvm1Y1+u5BI6UHi+LfgBw=</DigestValue>
      </Reference>
      <Reference URI="/xl/calcChain.xml?ContentType=application/vnd.openxmlformats-officedocument.spreadsheetml.calcChain+xml">
        <DigestMethod Algorithm="http://www.w3.org/2001/04/xmlenc#sha256"/>
        <DigestValue>raro0sLOTbOAQ2V7G+Lh11OONnJ7tsx5h/1Q6YX4D+U=</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drawing1.xml?ContentType=application/vnd.openxmlformats-officedocument.drawing+xml">
        <DigestMethod Algorithm="http://www.w3.org/2001/04/xmlenc#sha256"/>
        <DigestValue>8Si78NiSh5foaJildh7OKCSwHp3PWMm3H11mHq+hvS8=</DigestValue>
      </Reference>
      <Reference URI="/xl/media/image1.png?ContentType=image/png">
        <DigestMethod Algorithm="http://www.w3.org/2001/04/xmlenc#sha256"/>
        <DigestValue>gsWH99sp3UUz6MV59nFlnQ75GjEMleB3jPlQy7lOlJw=</DigestValue>
      </Reference>
      <Reference URI="/xl/printerSettings/printerSettings1.bin?ContentType=application/vnd.openxmlformats-officedocument.spreadsheetml.printerSettings">
        <DigestMethod Algorithm="http://www.w3.org/2001/04/xmlenc#sha256"/>
        <DigestValue>TaA6KX/SRWPpmiasS8KGCRFI/mFTpQlGqiM07LbibG8=</DigestValue>
      </Reference>
      <Reference URI="/xl/printerSettings/printerSettings10.bin?ContentType=application/vnd.openxmlformats-officedocument.spreadsheetml.printerSettings">
        <DigestMethod Algorithm="http://www.w3.org/2001/04/xmlenc#sha256"/>
        <DigestValue>9BEDvEtLT0sYKxzC33m1GXOVCEz7eNWpAlAQTHxciJc=</DigestValue>
      </Reference>
      <Reference URI="/xl/printerSettings/printerSettings11.bin?ContentType=application/vnd.openxmlformats-officedocument.spreadsheetml.printerSettings">
        <DigestMethod Algorithm="http://www.w3.org/2001/04/xmlenc#sha256"/>
        <DigestValue>TaA6KX/SRWPpmiasS8KGCRFI/mFTpQlGqiM07LbibG8=</DigestValue>
      </Reference>
      <Reference URI="/xl/printerSettings/printerSettings12.bin?ContentType=application/vnd.openxmlformats-officedocument.spreadsheetml.printerSettings">
        <DigestMethod Algorithm="http://www.w3.org/2001/04/xmlenc#sha256"/>
        <DigestValue>TaA6KX/SRWPpmiasS8KGCRFI/mFTpQlGqiM07LbibG8=</DigestValue>
      </Reference>
      <Reference URI="/xl/printerSettings/printerSettings13.bin?ContentType=application/vnd.openxmlformats-officedocument.spreadsheetml.printerSettings">
        <DigestMethod Algorithm="http://www.w3.org/2001/04/xmlenc#sha256"/>
        <DigestValue>9BEDvEtLT0sYKxzC33m1GXOVCEz7eNWpAlAQTHxciJc=</DigestValue>
      </Reference>
      <Reference URI="/xl/printerSettings/printerSettings14.bin?ContentType=application/vnd.openxmlformats-officedocument.spreadsheetml.printerSettings">
        <DigestMethod Algorithm="http://www.w3.org/2001/04/xmlenc#sha256"/>
        <DigestValue>9BEDvEtLT0sYKxzC33m1GXOVCEz7eNWpAlAQTHxciJc=</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tqkArYr64kd5rx+KazVxgeMQTi8uuFNs2pmjM+CmqV0=</DigestValue>
      </Reference>
      <Reference URI="/xl/printerSettings/printerSettings5.bin?ContentType=application/vnd.openxmlformats-officedocument.spreadsheetml.printerSettings">
        <DigestMethod Algorithm="http://www.w3.org/2001/04/xmlenc#sha256"/>
        <DigestValue>s6l80irlBTW+uFk7nR5c7WcaDa2jSh3MPBgl0IjaDO0=</DigestValue>
      </Reference>
      <Reference URI="/xl/printerSettings/printerSettings6.bin?ContentType=application/vnd.openxmlformats-officedocument.spreadsheetml.printerSettings">
        <DigestMethod Algorithm="http://www.w3.org/2001/04/xmlenc#sha256"/>
        <DigestValue>nyXEq6HkSWVbKuqt8NwW1ry2ZXjGdSgNTy2s0ZAJc9E=</DigestValue>
      </Reference>
      <Reference URI="/xl/printerSettings/printerSettings7.bin?ContentType=application/vnd.openxmlformats-officedocument.spreadsheetml.printerSettings">
        <DigestMethod Algorithm="http://www.w3.org/2001/04/xmlenc#sha256"/>
        <DigestValue>TaA6KX/SRWPpmiasS8KGCRFI/mFTpQlGqiM07LbibG8=</DigestValue>
      </Reference>
      <Reference URI="/xl/printerSettings/printerSettings8.bin?ContentType=application/vnd.openxmlformats-officedocument.spreadsheetml.printerSettings">
        <DigestMethod Algorithm="http://www.w3.org/2001/04/xmlenc#sha256"/>
        <DigestValue>9BEDvEtLT0sYKxzC33m1GXOVCEz7eNWpAlAQTHxciJc=</DigestValue>
      </Reference>
      <Reference URI="/xl/printerSettings/printerSettings9.bin?ContentType=application/vnd.openxmlformats-officedocument.spreadsheetml.printerSettings">
        <DigestMethod Algorithm="http://www.w3.org/2001/04/xmlenc#sha256"/>
        <DigestValue>GyyR84UYFfbFvVrs+ip9vPggIMAXC0nxkmeUVNsGxCc=</DigestValue>
      </Reference>
      <Reference URI="/xl/sharedStrings.xml?ContentType=application/vnd.openxmlformats-officedocument.spreadsheetml.sharedStrings+xml">
        <DigestMethod Algorithm="http://www.w3.org/2001/04/xmlenc#sha256"/>
        <DigestValue>XeH4DtSrc5F6vCt8wpTUb/r/WyP/cnNwmqqvcD5WDWQ=</DigestValue>
      </Reference>
      <Reference URI="/xl/styles.xml?ContentType=application/vnd.openxmlformats-officedocument.spreadsheetml.styles+xml">
        <DigestMethod Algorithm="http://www.w3.org/2001/04/xmlenc#sha256"/>
        <DigestValue>9NqtNsKhFGfjE/7JlzTXeKMhpJrt0J2e6fCkGTkeQeY=</DigestValue>
      </Reference>
      <Reference URI="/xl/theme/theme1.xml?ContentType=application/vnd.openxmlformats-officedocument.theme+xml">
        <DigestMethod Algorithm="http://www.w3.org/2001/04/xmlenc#sha256"/>
        <DigestValue>cI0/HXUJqryaYoRwZC3vNBHtNesfR3Vou+AOm9g0lJo=</DigestValue>
      </Reference>
      <Reference URI="/xl/workbook.xml?ContentType=application/vnd.openxmlformats-officedocument.spreadsheetml.sheet.main+xml">
        <DigestMethod Algorithm="http://www.w3.org/2001/04/xmlenc#sha256"/>
        <DigestValue>P86cfI9UO0Pu6l5OiJ7/s1J8rHgDpC9CshhViySQVGM=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3fP+tybwJ3DvcG8hL456a7r9et47KjlHx4GKz0j9JI8=</DigestValue>
      </Reference>
      <Reference URI="/xl/worksheets/sheet10.xml?ContentType=application/vnd.openxmlformats-officedocument.spreadsheetml.worksheet+xml">
        <DigestMethod Algorithm="http://www.w3.org/2001/04/xmlenc#sha256"/>
        <DigestValue>V5UrjEte95YgdwbXm7Vi3VaZkPOfSCNxHwLYb9jqGW4=</DigestValue>
      </Reference>
      <Reference URI="/xl/worksheets/sheet11.xml?ContentType=application/vnd.openxmlformats-officedocument.spreadsheetml.worksheet+xml">
        <DigestMethod Algorithm="http://www.w3.org/2001/04/xmlenc#sha256"/>
        <DigestValue>DLeAOjibFgyxkV91hidCI5MS6UQ9PO0tZMLAjnjFK7I=</DigestValue>
      </Reference>
      <Reference URI="/xl/worksheets/sheet12.xml?ContentType=application/vnd.openxmlformats-officedocument.spreadsheetml.worksheet+xml">
        <DigestMethod Algorithm="http://www.w3.org/2001/04/xmlenc#sha256"/>
        <DigestValue>M1MpM1+3Rs5gi5MhMc+ViscvCsl2WxHQvEKKTKUd5dU=</DigestValue>
      </Reference>
      <Reference URI="/xl/worksheets/sheet13.xml?ContentType=application/vnd.openxmlformats-officedocument.spreadsheetml.worksheet+xml">
        <DigestMethod Algorithm="http://www.w3.org/2001/04/xmlenc#sha256"/>
        <DigestValue>yA4ZaKTRmuU0GWG6R6YGhNebAqX+vsO/IgvCWLtk8R8=</DigestValue>
      </Reference>
      <Reference URI="/xl/worksheets/sheet14.xml?ContentType=application/vnd.openxmlformats-officedocument.spreadsheetml.worksheet+xml">
        <DigestMethod Algorithm="http://www.w3.org/2001/04/xmlenc#sha256"/>
        <DigestValue>zjfTrL3g1RJ4vak4jMcl4IF5cLU96pJbepL1zzY7zis=</DigestValue>
      </Reference>
      <Reference URI="/xl/worksheets/sheet2.xml?ContentType=application/vnd.openxmlformats-officedocument.spreadsheetml.worksheet+xml">
        <DigestMethod Algorithm="http://www.w3.org/2001/04/xmlenc#sha256"/>
        <DigestValue>WfAvNtdR/OMB43PdeV6CEDU/vC4VsOzHIfOlvHosuz0=</DigestValue>
      </Reference>
      <Reference URI="/xl/worksheets/sheet3.xml?ContentType=application/vnd.openxmlformats-officedocument.spreadsheetml.worksheet+xml">
        <DigestMethod Algorithm="http://www.w3.org/2001/04/xmlenc#sha256"/>
        <DigestValue>iqbNnOpF01kTM1ApgSSHvHJFa0qAaF1bVCsLiOQbeWo=</DigestValue>
      </Reference>
      <Reference URI="/xl/worksheets/sheet4.xml?ContentType=application/vnd.openxmlformats-officedocument.spreadsheetml.worksheet+xml">
        <DigestMethod Algorithm="http://www.w3.org/2001/04/xmlenc#sha256"/>
        <DigestValue>mTQMX/ZdHvtprfOBDJ9ZqCFLcViOJKtkRFaKyq/Mags=</DigestValue>
      </Reference>
      <Reference URI="/xl/worksheets/sheet5.xml?ContentType=application/vnd.openxmlformats-officedocument.spreadsheetml.worksheet+xml">
        <DigestMethod Algorithm="http://www.w3.org/2001/04/xmlenc#sha256"/>
        <DigestValue>iembjHaPEkPYoQEHG4uc9634MQw6nG0eY8llzoqzDUg=</DigestValue>
      </Reference>
      <Reference URI="/xl/worksheets/sheet6.xml?ContentType=application/vnd.openxmlformats-officedocument.spreadsheetml.worksheet+xml">
        <DigestMethod Algorithm="http://www.w3.org/2001/04/xmlenc#sha256"/>
        <DigestValue>4ZO8JNmPocpNoozf3n33v0QuptsGQFas8exHV/GHQZk=</DigestValue>
      </Reference>
      <Reference URI="/xl/worksheets/sheet7.xml?ContentType=application/vnd.openxmlformats-officedocument.spreadsheetml.worksheet+xml">
        <DigestMethod Algorithm="http://www.w3.org/2001/04/xmlenc#sha256"/>
        <DigestValue>jThq5RukoljsuVrFKs/hnCetGie9d1LgjecTxjVIU/g=</DigestValue>
      </Reference>
      <Reference URI="/xl/worksheets/sheet8.xml?ContentType=application/vnd.openxmlformats-officedocument.spreadsheetml.worksheet+xml">
        <DigestMethod Algorithm="http://www.w3.org/2001/04/xmlenc#sha256"/>
        <DigestValue>XS6eJQGqECCowVF6QDqiQZKT1H549rV+T8SXyKCjryw=</DigestValue>
      </Reference>
      <Reference URI="/xl/worksheets/sheet9.xml?ContentType=application/vnd.openxmlformats-officedocument.spreadsheetml.worksheet+xml">
        <DigestMethod Algorithm="http://www.w3.org/2001/04/xmlenc#sha256"/>
        <DigestValue>Ah8QA5bQE5M5B75rrOnln3ob7AgRBB9IFoyn4gLNQNY=</DigestValue>
      </Reference>
    </Manifest>
    <SignatureProperties>
      <SignatureProperty Id="idSignatureTime" Target="#idPackageSignature">
        <mdssi:SignatureTime xmlns:mdssi="http://schemas.openxmlformats.org/package/2006/digital-signature">
          <mdssi:Format>YYYY-MM-DDThh:mm:ssTZD</mdssi:Format>
          <mdssi:Value>2024-05-16T13:29:41Z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2024-05-16T13:29:41Z</xd:SigningTime>
          <xd:SigningCertificate>
            <xd:Cert>
              <xd:CertDigest>
                <DigestMethod Algorithm="http://www.w3.org/2001/04/xmlenc#sha256"/>
                <DigestValue>8uHdl/n7i8782z2nH7JLdbT94ygLsx4FAHi12soOtsg=</DigestValue>
              </xd:CertDigest>
              <xd:IssuerSerial>
                <X509IssuerName>CN=CA-VIT S.A., O=VIT S.A., C=PY, SERIALNUMBER=RUC 80080099-0</X509IssuerName>
                <X509SerialNumber>63418249742460934897249143495463452759</X509SerialNumber>
              </xd:IssuerSerial>
            </xd:Cert>
          </xd:SigningCertificate>
          <xd:SignaturePolicyIdentifier>
            <xd:SignaturePolicyImplied/>
          </xd:SignaturePolicyIdentifier>
        </xd:SignedSignatureProperties>
      </xd: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vt:i4>
      </vt:variant>
    </vt:vector>
  </HeadingPairs>
  <TitlesOfParts>
    <vt:vector size="16" baseType="lpstr">
      <vt:lpstr>CARATULA </vt:lpstr>
      <vt:lpstr>Información General</vt:lpstr>
      <vt:lpstr>Balance General</vt:lpstr>
      <vt:lpstr>Estado de Resultados</vt:lpstr>
      <vt:lpstr>Variación PN</vt:lpstr>
      <vt:lpstr>Flujo de Efectivo</vt:lpstr>
      <vt:lpstr>Notas a los EEFF</vt:lpstr>
      <vt:lpstr>Anexo 5a-5c</vt:lpstr>
      <vt:lpstr>Anexo 5d-5h</vt:lpstr>
      <vt:lpstr>Anexo 5i-5m</vt:lpstr>
      <vt:lpstr>Anexo 5n-5r</vt:lpstr>
      <vt:lpstr>Anexo 5s-5w</vt:lpstr>
      <vt:lpstr>Anexo 5x-5z</vt:lpstr>
      <vt:lpstr>Notas 6-11</vt:lpstr>
      <vt:lpstr>'Notas 6-11'!_Hlk47083218</vt:lpstr>
      <vt:lpstr>'Notas a los EEFF'!Área_de_impresión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Diario</dc:creator>
  <cp:lastModifiedBy>Dora Busto de Arzamendia</cp:lastModifiedBy>
  <cp:lastPrinted>2022-03-23T14:26:34Z</cp:lastPrinted>
  <dcterms:created xsi:type="dcterms:W3CDTF">2020-08-05T19:03:26Z</dcterms:created>
  <dcterms:modified xsi:type="dcterms:W3CDTF">2024-05-14T17:13:50Z</dcterms:modified>
  <cp:contentStatus/>
</cp:coreProperties>
</file>