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docs.live.net/aced4a89621b6b2b/Documentos/CAPITAL MARKET/Año 2023/CNV/"/>
    </mc:Choice>
  </mc:AlternateContent>
  <xr:revisionPtr revIDLastSave="403" documentId="10_ncr:200_{F2534C03-B18F-4F58-B6D3-A4302D4FD0CC}" xr6:coauthVersionLast="47" xr6:coauthVersionMax="47" xr10:uidLastSave="{D041D378-6408-4E50-B45F-FB0EF7025D93}"/>
  <bookViews>
    <workbookView xWindow="-120" yWindow="-120" windowWidth="29040" windowHeight="15720" tabRatio="888" firstSheet="2" activeTab="8" xr2:uid="{00000000-000D-0000-FFFF-FFFF00000000}"/>
  </bookViews>
  <sheets>
    <sheet name="CARATULA " sheetId="16" r:id="rId1"/>
    <sheet name="Información General" sheetId="1"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1" i="9" l="1"/>
  <c r="F64" i="3"/>
  <c r="G64" i="3"/>
  <c r="G62" i="3" s="1"/>
  <c r="D62" i="3"/>
  <c r="C19" i="5"/>
  <c r="C121" i="9"/>
  <c r="E18" i="12"/>
  <c r="C18" i="12"/>
  <c r="F70" i="11"/>
  <c r="D111" i="9"/>
  <c r="H31" i="8"/>
  <c r="H28" i="8"/>
  <c r="I28" i="8" s="1"/>
  <c r="F28" i="8"/>
  <c r="E28" i="8"/>
  <c r="H27" i="8"/>
  <c r="I27" i="8" s="1"/>
  <c r="E27" i="8"/>
  <c r="F27" i="8" s="1"/>
  <c r="H23" i="8"/>
  <c r="I23" i="8" s="1"/>
  <c r="K187" i="1" l="1"/>
  <c r="L187" i="1" s="1"/>
  <c r="H187" i="1"/>
  <c r="H186" i="1"/>
  <c r="K186" i="1" s="1"/>
  <c r="L186" i="1" s="1"/>
  <c r="L185" i="1"/>
  <c r="K185" i="1"/>
  <c r="H185" i="1"/>
  <c r="L184" i="1"/>
  <c r="K184" i="1"/>
  <c r="H184" i="1"/>
  <c r="H183" i="1"/>
  <c r="K183" i="1" s="1"/>
  <c r="L183" i="1" s="1"/>
  <c r="H182" i="1"/>
  <c r="K182" i="1" s="1"/>
  <c r="L181" i="1"/>
  <c r="K181" i="1"/>
  <c r="H181" i="1"/>
  <c r="K180" i="1"/>
  <c r="L180" i="1" s="1"/>
  <c r="H180" i="1"/>
  <c r="K179" i="1"/>
  <c r="L179" i="1" s="1"/>
  <c r="H179" i="1"/>
  <c r="H188" i="1" s="1"/>
  <c r="C192" i="1" s="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C24" i="5"/>
  <c r="C100" i="12"/>
  <c r="D15" i="12"/>
  <c r="C43" i="11"/>
  <c r="K188" i="1" l="1"/>
  <c r="L182" i="1"/>
  <c r="C193" i="1"/>
  <c r="D191" i="1" s="1"/>
  <c r="D192" i="1"/>
  <c r="C107" i="9" l="1"/>
  <c r="D43" i="4" l="1"/>
  <c r="D40" i="4"/>
  <c r="C29" i="5" l="1"/>
  <c r="C25" i="5"/>
  <c r="F47" i="3" l="1"/>
  <c r="F51" i="3"/>
  <c r="F55" i="3" l="1"/>
  <c r="C43" i="4"/>
  <c r="C27" i="12" l="1"/>
  <c r="E60" i="11" l="1"/>
  <c r="C62" i="3" l="1"/>
  <c r="G53" i="3" l="1"/>
  <c r="G45" i="3"/>
  <c r="G43" i="3"/>
  <c r="F78" i="11"/>
  <c r="F60" i="11"/>
  <c r="D35" i="3"/>
  <c r="C35" i="3"/>
  <c r="D24" i="9"/>
  <c r="D17" i="12" l="1"/>
  <c r="D14" i="12"/>
  <c r="D13" i="12"/>
  <c r="D12" i="12"/>
  <c r="E13" i="15"/>
  <c r="E19" i="12"/>
  <c r="C17" i="12"/>
  <c r="C15" i="12"/>
  <c r="C14" i="12"/>
  <c r="C13" i="12"/>
  <c r="C12" i="12"/>
  <c r="E70" i="11"/>
  <c r="D55" i="1"/>
  <c r="D56" i="1" s="1"/>
  <c r="C40" i="4" l="1"/>
  <c r="E31" i="8"/>
  <c r="E23" i="8"/>
  <c r="F23" i="8" s="1"/>
  <c r="C34" i="5" l="1"/>
  <c r="C30" i="5"/>
  <c r="C28" i="5"/>
  <c r="C21" i="5"/>
  <c r="E9" i="10" l="1"/>
  <c r="D9" i="10"/>
  <c r="C9" i="10"/>
  <c r="D64" i="12"/>
  <c r="D29" i="12"/>
  <c r="E38" i="8"/>
  <c r="E37" i="8"/>
  <c r="I11" i="15" l="1"/>
  <c r="D11" i="15"/>
  <c r="D13" i="15"/>
  <c r="C64" i="12"/>
  <c r="I31" i="8"/>
  <c r="D39" i="5" l="1"/>
  <c r="D102" i="12" l="1"/>
  <c r="F18" i="12" l="1"/>
  <c r="F17" i="12"/>
  <c r="F15" i="12"/>
  <c r="F14" i="12"/>
  <c r="F13" i="12"/>
  <c r="F12" i="12"/>
  <c r="D43" i="10"/>
  <c r="H124" i="9"/>
  <c r="H125" i="9" s="1"/>
  <c r="C124" i="9"/>
  <c r="C125" i="9" s="1"/>
  <c r="G125" i="9" s="1"/>
  <c r="G121" i="9"/>
  <c r="G122" i="9"/>
  <c r="E78" i="11" l="1"/>
  <c r="C111" i="9" l="1"/>
  <c r="C20" i="3" l="1"/>
  <c r="D20" i="3"/>
  <c r="F124" i="9"/>
  <c r="D124" i="9"/>
  <c r="G51" i="3"/>
  <c r="G47" i="3"/>
  <c r="C16" i="12" s="1"/>
  <c r="D16" i="12" l="1"/>
  <c r="D19" i="12" s="1"/>
  <c r="C19" i="12"/>
  <c r="F16" i="12"/>
  <c r="F19" i="12" s="1"/>
  <c r="G55" i="3"/>
  <c r="C20" i="4"/>
  <c r="L122" i="9" l="1"/>
  <c r="D32" i="11" l="1"/>
  <c r="G26" i="3" s="1"/>
  <c r="C32" i="11"/>
  <c r="F26" i="3" s="1"/>
  <c r="D20" i="4" l="1"/>
  <c r="H17" i="15"/>
  <c r="M17" i="15" s="1"/>
  <c r="H11" i="15"/>
  <c r="H20" i="15" s="1"/>
  <c r="K16" i="15"/>
  <c r="M16" i="15" s="1"/>
  <c r="E11" i="15"/>
  <c r="D44" i="11"/>
  <c r="G27" i="3" s="1"/>
  <c r="F62" i="3"/>
  <c r="C10" i="11"/>
  <c r="F35" i="3" s="1"/>
  <c r="D10" i="11"/>
  <c r="G35" i="3" s="1"/>
  <c r="D18" i="11"/>
  <c r="G14" i="3" s="1"/>
  <c r="C18" i="11"/>
  <c r="F14" i="3" s="1"/>
  <c r="C44" i="11" l="1"/>
  <c r="F27" i="3" s="1"/>
  <c r="C12" i="5" s="1"/>
  <c r="D35" i="10" l="1"/>
  <c r="D47" i="3" s="1"/>
  <c r="C35" i="10"/>
  <c r="C47" i="3" s="1"/>
  <c r="F8" i="10"/>
  <c r="E10" i="10"/>
  <c r="C10" i="10"/>
  <c r="K124" i="9"/>
  <c r="I124" i="9"/>
  <c r="F10" i="10" l="1"/>
  <c r="D44" i="3" s="1"/>
  <c r="F9" i="10"/>
  <c r="C44" i="3" s="1"/>
  <c r="L125" i="9"/>
  <c r="D40" i="3"/>
  <c r="J123" i="9"/>
  <c r="J124" i="9" s="1"/>
  <c r="E123" i="9"/>
  <c r="D52" i="9"/>
  <c r="D21" i="3" s="1"/>
  <c r="D41" i="3" l="1"/>
  <c r="M125" i="9"/>
  <c r="E124" i="9"/>
  <c r="G123" i="9"/>
  <c r="G124" i="9" s="1"/>
  <c r="H29" i="8" l="1"/>
  <c r="I29" i="8" s="1"/>
  <c r="H26" i="8"/>
  <c r="I26" i="8" s="1"/>
  <c r="H25" i="8"/>
  <c r="I25" i="8" s="1"/>
  <c r="H24" i="8"/>
  <c r="I24" i="8" s="1"/>
  <c r="H22" i="8"/>
  <c r="I22" i="8" s="1"/>
  <c r="C38" i="8"/>
  <c r="D7" i="12" l="1"/>
  <c r="C7" i="12"/>
  <c r="C29" i="12"/>
  <c r="F25" i="3" l="1"/>
  <c r="F31" i="8"/>
  <c r="E29" i="8"/>
  <c r="F29" i="8" s="1"/>
  <c r="E26" i="8"/>
  <c r="E25" i="8"/>
  <c r="F25" i="8" s="1"/>
  <c r="E24" i="8"/>
  <c r="F24" i="8" s="1"/>
  <c r="E22" i="8"/>
  <c r="F22" i="8" s="1"/>
  <c r="C96" i="10"/>
  <c r="C37" i="8"/>
  <c r="C24" i="9"/>
  <c r="F13" i="15"/>
  <c r="F11" i="15"/>
  <c r="D134" i="9"/>
  <c r="C134" i="9"/>
  <c r="I14" i="15"/>
  <c r="I19" i="15" s="1"/>
  <c r="C58" i="10"/>
  <c r="F33" i="3" s="1"/>
  <c r="F32" i="3" s="1"/>
  <c r="F37" i="3" s="1"/>
  <c r="D58" i="10"/>
  <c r="G32" i="3" s="1"/>
  <c r="G37" i="3" s="1"/>
  <c r="D13" i="3"/>
  <c r="D42" i="12"/>
  <c r="C74" i="12"/>
  <c r="C25" i="4" s="1"/>
  <c r="C22" i="4" s="1"/>
  <c r="D74" i="12"/>
  <c r="C42" i="12"/>
  <c r="K11" i="15"/>
  <c r="K20" i="15" s="1"/>
  <c r="L18" i="15"/>
  <c r="M18" i="15" s="1"/>
  <c r="G14" i="15"/>
  <c r="L11" i="15"/>
  <c r="K15" i="15" s="1"/>
  <c r="J11" i="15"/>
  <c r="J19" i="15" s="1"/>
  <c r="G11" i="15"/>
  <c r="D96" i="10"/>
  <c r="G13" i="3" s="1"/>
  <c r="C52" i="9"/>
  <c r="C21" i="3" s="1"/>
  <c r="D28" i="10"/>
  <c r="D25" i="3" s="1"/>
  <c r="D59" i="9"/>
  <c r="D22" i="3" s="1"/>
  <c r="C19" i="15"/>
  <c r="D32" i="5"/>
  <c r="E20" i="15"/>
  <c r="E19" i="15"/>
  <c r="C20" i="15"/>
  <c r="M20" i="15"/>
  <c r="D20" i="15"/>
  <c r="F20" i="3"/>
  <c r="D32" i="4"/>
  <c r="D26" i="4" s="1"/>
  <c r="C102" i="12"/>
  <c r="C32" i="4" s="1"/>
  <c r="C26" i="4" s="1"/>
  <c r="D55" i="12"/>
  <c r="D19" i="4" s="1"/>
  <c r="D17" i="4" s="1"/>
  <c r="C55" i="12"/>
  <c r="C19" i="4" s="1"/>
  <c r="C17" i="4" s="1"/>
  <c r="M121" i="9"/>
  <c r="F35" i="9"/>
  <c r="C14" i="13"/>
  <c r="C35" i="4" s="1"/>
  <c r="M122" i="9"/>
  <c r="C32" i="3"/>
  <c r="C15" i="3"/>
  <c r="C28" i="10"/>
  <c r="L123" i="9"/>
  <c r="C59" i="9"/>
  <c r="C22" i="3" s="1"/>
  <c r="D37" i="13"/>
  <c r="D42" i="4" s="1"/>
  <c r="C37" i="13"/>
  <c r="C42" i="4" s="1"/>
  <c r="C37" i="5" s="1"/>
  <c r="C39" i="5" s="1"/>
  <c r="C30" i="13"/>
  <c r="C39" i="4" s="1"/>
  <c r="D30" i="13"/>
  <c r="D39" i="4" s="1"/>
  <c r="D14" i="13"/>
  <c r="D35" i="4" s="1"/>
  <c r="C101" i="10"/>
  <c r="F12" i="3" s="1"/>
  <c r="D101" i="10"/>
  <c r="G12" i="3" s="1"/>
  <c r="C48" i="10"/>
  <c r="F18" i="3" s="1"/>
  <c r="D48" i="10"/>
  <c r="G18" i="3" s="1"/>
  <c r="C43" i="10"/>
  <c r="F17" i="3" s="1"/>
  <c r="G17" i="3"/>
  <c r="G25" i="3"/>
  <c r="G20" i="3"/>
  <c r="D46" i="3"/>
  <c r="D32" i="3"/>
  <c r="C46" i="3"/>
  <c r="H19" i="15"/>
  <c r="D15" i="3"/>
  <c r="C13" i="5" l="1"/>
  <c r="D25" i="4"/>
  <c r="D22" i="4" s="1"/>
  <c r="M14" i="15"/>
  <c r="M123" i="9"/>
  <c r="L124" i="9"/>
  <c r="D19" i="3"/>
  <c r="L15" i="15"/>
  <c r="M15" i="15" s="1"/>
  <c r="C13" i="3"/>
  <c r="C11" i="3" s="1"/>
  <c r="D16" i="4"/>
  <c r="D11" i="3"/>
  <c r="C19" i="3"/>
  <c r="G11" i="3"/>
  <c r="D24" i="3"/>
  <c r="D19" i="15"/>
  <c r="M13" i="15"/>
  <c r="D55" i="3"/>
  <c r="G16" i="3"/>
  <c r="F13" i="3"/>
  <c r="C16" i="4"/>
  <c r="C8" i="4" s="1"/>
  <c r="L20" i="15"/>
  <c r="K19" i="15"/>
  <c r="F16" i="3"/>
  <c r="C25" i="3"/>
  <c r="C31" i="5" s="1"/>
  <c r="C40" i="3"/>
  <c r="F26" i="8"/>
  <c r="F19" i="15"/>
  <c r="J20" i="15"/>
  <c r="G19" i="15"/>
  <c r="F20" i="15"/>
  <c r="G20" i="15"/>
  <c r="N11" i="15"/>
  <c r="M124" i="9" l="1"/>
  <c r="C41" i="3"/>
  <c r="C27" i="5" s="1"/>
  <c r="C32" i="5" s="1"/>
  <c r="D8" i="4"/>
  <c r="D21" i="4" s="1"/>
  <c r="D33" i="4" s="1"/>
  <c r="F11" i="3"/>
  <c r="C11" i="5"/>
  <c r="C21" i="4"/>
  <c r="D29" i="3"/>
  <c r="D56" i="3" s="1"/>
  <c r="N20" i="15"/>
  <c r="G29" i="3"/>
  <c r="G40" i="3" s="1"/>
  <c r="G56" i="3" s="1"/>
  <c r="C24" i="3"/>
  <c r="C17" i="5" s="1"/>
  <c r="C29" i="3"/>
  <c r="L19" i="15"/>
  <c r="M19" i="15" s="1"/>
  <c r="F29" i="3" l="1"/>
  <c r="C33" i="4"/>
  <c r="C44" i="4" s="1"/>
  <c r="C47" i="4" s="1"/>
  <c r="C14" i="5"/>
  <c r="C22" i="5" s="1"/>
  <c r="C41" i="5" s="1"/>
  <c r="D44" i="4"/>
  <c r="D47" i="4" s="1"/>
  <c r="C55" i="3"/>
  <c r="C56" i="3" s="1"/>
  <c r="F40" i="3" l="1"/>
  <c r="F56" i="3" s="1"/>
  <c r="D14" i="5"/>
  <c r="D22" i="5" s="1"/>
  <c r="D41" i="5" s="1"/>
  <c r="D43" i="5" s="1"/>
  <c r="C42" i="5" l="1"/>
  <c r="C43" i="5" s="1"/>
</calcChain>
</file>

<file path=xl/sharedStrings.xml><?xml version="1.0" encoding="utf-8"?>
<sst xmlns="http://schemas.openxmlformats.org/spreadsheetml/2006/main" count="1189" uniqueCount="763">
  <si>
    <t xml:space="preserve">INFORMACION GENERAL DE LA ENTIDAD </t>
  </si>
  <si>
    <t>CARGO</t>
  </si>
  <si>
    <t>NOMBRE Y APELLIDO</t>
  </si>
  <si>
    <t xml:space="preserve">Presidente </t>
  </si>
  <si>
    <t>Vicepresidente</t>
  </si>
  <si>
    <t>Capital a Integrar</t>
  </si>
  <si>
    <t>Cantidad</t>
  </si>
  <si>
    <t>Activo</t>
  </si>
  <si>
    <t>PERIODO    ACTUAL</t>
  </si>
  <si>
    <t>PASIVO</t>
  </si>
  <si>
    <t>Activo Corriente</t>
  </si>
  <si>
    <t xml:space="preserve">Caja                                                                                              </t>
  </si>
  <si>
    <t>Bancos</t>
  </si>
  <si>
    <t>Títulos de Renta Variable</t>
  </si>
  <si>
    <t>Títulos de Renta Fija</t>
  </si>
  <si>
    <t>Inventario</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</si>
  <si>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</si>
  <si>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</si>
  <si>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</si>
  <si>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</si>
  <si>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</si>
  <si>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</si>
  <si>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</si>
  <si>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</si>
  <si>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</si>
  <si>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</si>
  <si>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</si>
  <si>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</si>
  <si>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</si>
  <si>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</si>
  <si>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</si>
  <si>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</si>
  <si>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</si>
  <si>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</si>
  <si>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</si>
  <si>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</si>
  <si>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</si>
  <si>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</si>
  <si>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</si>
  <si>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</si>
  <si>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</si>
  <si>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</si>
  <si>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</si>
  <si>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</si>
  <si>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</si>
  <si>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</si>
  <si>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</si>
  <si>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</si>
  <si>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</si>
  <si>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</si>
  <si>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</si>
  <si>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</si>
  <si>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</si>
  <si>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</si>
  <si>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</si>
  <si>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</si>
  <si>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</si>
  <si>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</si>
  <si>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</si>
  <si>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</si>
  <si>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</si>
  <si>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</si>
  <si>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</si>
  <si>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</si>
  <si>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</si>
  <si>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</si>
  <si>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</si>
  <si>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</si>
  <si>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</si>
  <si>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</si>
  <si>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</si>
  <si>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</si>
  <si>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</si>
  <si>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</si>
  <si>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</si>
  <si>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</si>
  <si>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</si>
  <si>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</si>
  <si>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</si>
  <si>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</si>
  <si>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</si>
  <si>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</si>
  <si>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</si>
  <si>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</si>
  <si>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</si>
  <si>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</si>
  <si>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</si>
  <si>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</si>
  <si>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</si>
  <si>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</si>
  <si>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</si>
  <si>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</si>
  <si>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</si>
  <si>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</si>
  <si>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</si>
  <si>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</si>
  <si>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</si>
  <si>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</si>
  <si>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</si>
  <si>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</si>
  <si>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</si>
  <si>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</si>
  <si>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</si>
  <si>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</si>
  <si>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</si>
  <si>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</si>
  <si>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</si>
  <si>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</si>
  <si>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</si>
  <si>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</si>
  <si>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</si>
  <si>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</si>
  <si>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</si>
  <si>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</si>
  <si>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</si>
  <si>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</si>
  <si>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</si>
  <si>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</si>
  <si>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</si>
  <si>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</si>
  <si>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</si>
  <si>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</si>
  <si>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</si>
  <si>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</si>
  <si>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</si>
  <si>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Suscripto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</si>
  <si>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</si>
  <si>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</si>
  <si>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</si>
  <si>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</si>
  <si>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</si>
  <si>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</si>
  <si>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</si>
  <si>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</si>
  <si>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</si>
  <si>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</si>
  <si>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</si>
  <si>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</si>
  <si>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</si>
  <si>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</si>
  <si>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</si>
  <si>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</si>
  <si>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</si>
  <si>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</si>
  <si>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</si>
  <si>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</si>
  <si>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</si>
  <si>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</si>
  <si>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</si>
  <si>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</si>
  <si>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</si>
  <si>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</si>
  <si>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</si>
  <si>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</si>
  <si>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</si>
  <si>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</si>
  <si>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</si>
  <si>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</si>
  <si>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</si>
  <si>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</si>
  <si>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</si>
  <si>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</si>
  <si>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</si>
  <si>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</si>
  <si>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</si>
  <si>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</si>
  <si>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</si>
  <si>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</si>
  <si>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</si>
  <si>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</si>
  <si>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</si>
  <si>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</si>
  <si>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</si>
  <si>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</si>
  <si>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</si>
  <si>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</si>
  <si>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</si>
  <si>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</si>
  <si>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</si>
  <si>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</si>
  <si>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</si>
  <si>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Fondo Fijo</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</si>
  <si>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</si>
  <si>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</si>
  <si>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</si>
  <si>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</si>
  <si>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</si>
  <si>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</si>
  <si>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</si>
  <si>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</si>
  <si>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</si>
  <si>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</si>
  <si>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</si>
  <si>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</si>
  <si>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</si>
  <si>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</si>
  <si>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</si>
  <si>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</si>
  <si>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</si>
  <si>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</si>
  <si>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</si>
  <si>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</si>
  <si>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</si>
  <si>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</si>
  <si>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</si>
  <si>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</si>
  <si>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</si>
  <si>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</si>
  <si>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</si>
  <si>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</si>
  <si>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</si>
  <si>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</si>
  <si>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</si>
  <si>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</si>
  <si>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</si>
  <si>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</si>
  <si>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</si>
  <si>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</si>
  <si>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</si>
  <si>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</si>
  <si>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</si>
  <si>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</si>
  <si>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</si>
  <si>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</si>
  <si>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</si>
  <si>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</si>
  <si>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</si>
  <si>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</si>
  <si>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</si>
  <si>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</si>
  <si>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</si>
  <si>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</si>
  <si>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</si>
  <si>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</si>
  <si>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</si>
  <si>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</si>
  <si>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</si>
  <si>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</si>
  <si>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</si>
  <si>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</si>
  <si>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</si>
  <si>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</si>
  <si>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</si>
  <si>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</si>
  <si>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</si>
  <si>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</si>
  <si>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</si>
  <si>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</si>
  <si>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</si>
  <si>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</si>
  <si>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</si>
  <si>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</si>
  <si>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</si>
  <si>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</si>
  <si>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</si>
  <si>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</si>
  <si>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</si>
  <si>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</si>
  <si>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</si>
  <si>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</si>
  <si>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</si>
  <si>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</si>
  <si>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</si>
  <si>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</si>
  <si>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</si>
  <si>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</si>
  <si>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</si>
  <si>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</si>
  <si>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</si>
  <si>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Venta de Acciones</t>
  </si>
  <si>
    <t>Venta de Bonos</t>
  </si>
  <si>
    <t>Otros ingresos</t>
  </si>
  <si>
    <t>w) Otros gastos operativos, de comercialización y de administración</t>
  </si>
  <si>
    <t>Aranceles por Negociación Bolsa de Valores</t>
  </si>
  <si>
    <t xml:space="preserve">Período Actual </t>
  </si>
  <si>
    <t xml:space="preserve">      anterior en Gs.</t>
  </si>
  <si>
    <t>Aranceles por negociación en Bolsa</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</si>
  <si>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</si>
  <si>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</si>
  <si>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</si>
  <si>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</si>
  <si>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</si>
  <si>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</si>
  <si>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</si>
  <si>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</si>
  <si>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</si>
  <si>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Indemnizaciones</t>
  </si>
  <si>
    <t>Remuneración personal superior</t>
  </si>
  <si>
    <t>Honorarios profesionales</t>
  </si>
  <si>
    <t>Gratificaciones</t>
  </si>
  <si>
    <t>Alquileres</t>
  </si>
  <si>
    <t>Útiles de oficina</t>
  </si>
  <si>
    <t>Comisiones y gastos bancarios operacionales</t>
  </si>
  <si>
    <t>Multas y recargos</t>
  </si>
  <si>
    <t>Gastos de consumición y limpieza</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</si>
  <si>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</si>
  <si>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</si>
  <si>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</si>
  <si>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</si>
  <si>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</si>
  <si>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</si>
  <si>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</si>
  <si>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</si>
  <si>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</si>
  <si>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</si>
  <si>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</si>
  <si>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</si>
  <si>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</si>
  <si>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</si>
  <si>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</si>
  <si>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</si>
  <si>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</si>
  <si>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</si>
  <si>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</si>
  <si>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</si>
  <si>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</si>
  <si>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</si>
  <si>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</si>
  <si>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</si>
  <si>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</si>
  <si>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</si>
  <si>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</si>
  <si>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</si>
  <si>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</si>
  <si>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</si>
  <si>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</si>
  <si>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</si>
  <si>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</si>
  <si>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</si>
  <si>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</si>
  <si>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</si>
  <si>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</si>
  <si>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</si>
  <si>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</si>
  <si>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</si>
  <si>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</si>
  <si>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</si>
  <si>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</si>
  <si>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</si>
  <si>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</si>
  <si>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</si>
  <si>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</si>
  <si>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</si>
  <si>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</si>
  <si>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</si>
  <si>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</si>
  <si>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</si>
  <si>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</si>
  <si>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</si>
  <si>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</si>
  <si>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</si>
  <si>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</si>
  <si>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 xml:space="preserve">Ingresos por Operaciones y servicios extrabursatiles </t>
  </si>
  <si>
    <t>Ingresos por Servicios de Rep. De Tenedores</t>
  </si>
  <si>
    <t>Agua, Luz y Telefono</t>
  </si>
  <si>
    <t>Intereses Pagados</t>
  </si>
  <si>
    <t>facultativa</t>
  </si>
  <si>
    <t>USD</t>
  </si>
  <si>
    <t>BOLSA DE VALORES Y PRODUCTOS DE ASUNCION S.A.</t>
  </si>
  <si>
    <t>ACCION</t>
  </si>
  <si>
    <t xml:space="preserve">  CONCEPTO</t>
  </si>
  <si>
    <t xml:space="preserve"> CONCEPTO</t>
  </si>
  <si>
    <t>Capital Social</t>
  </si>
  <si>
    <t>Capital Emitido</t>
  </si>
  <si>
    <t>% PARTIC.CAPITAL INTEGRADO</t>
  </si>
  <si>
    <t>Ordinaria</t>
  </si>
  <si>
    <t xml:space="preserve"> </t>
  </si>
  <si>
    <t>Capital Suscripto e Integrado</t>
  </si>
  <si>
    <t>Anticipo a Proveedores</t>
  </si>
  <si>
    <t xml:space="preserve">Reservas  </t>
  </si>
  <si>
    <t>Aporte p/ futuras Capitalizaciones</t>
  </si>
  <si>
    <t>Sindico</t>
  </si>
  <si>
    <t>Nombre</t>
  </si>
  <si>
    <t>Cargo</t>
  </si>
  <si>
    <t>PASIVOS CORRIENTES</t>
  </si>
  <si>
    <t>Seguros a Devengar</t>
  </si>
  <si>
    <t>Intereses Financieros</t>
  </si>
  <si>
    <t>Intereses Bursatiles Titulos/Bonos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</si>
  <si>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</si>
  <si>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</si>
  <si>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</si>
  <si>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</si>
  <si>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1.            IDENTIFICACIÓN</t>
  </si>
  <si>
    <t>Razón Social:</t>
  </si>
  <si>
    <t>Registro CNV:</t>
  </si>
  <si>
    <t>Código Bolsa:</t>
  </si>
  <si>
    <t>Dirección Oficina Principal:</t>
  </si>
  <si>
    <t>Teléfono:</t>
  </si>
  <si>
    <t>E-mail:</t>
  </si>
  <si>
    <t>Sitio Página Web:</t>
  </si>
  <si>
    <t>Domicilio Legal:</t>
  </si>
  <si>
    <t>RUC N°</t>
  </si>
  <si>
    <t xml:space="preserve">2.            ANTECEDENTES DE CONSTITUCIÓN </t>
  </si>
  <si>
    <t xml:space="preserve">3.            ADMINISTRACION </t>
  </si>
  <si>
    <t>Representantes Legales</t>
  </si>
  <si>
    <t>Presidente</t>
  </si>
  <si>
    <t>Vice-presidente</t>
  </si>
  <si>
    <t>Plana Ejecutiva</t>
  </si>
  <si>
    <t>Auditoría Interna</t>
  </si>
  <si>
    <t>Contador</t>
  </si>
  <si>
    <t>Dora Busto de Arzamendia</t>
  </si>
  <si>
    <t xml:space="preserve">4.            CAPITAL Y PROPIEDAD </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</si>
  <si>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</si>
  <si>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</si>
  <si>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</si>
  <si>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</si>
  <si>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</si>
  <si>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</si>
  <si>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</si>
  <si>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</si>
  <si>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</si>
  <si>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</si>
  <si>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</si>
  <si>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</si>
  <si>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</si>
  <si>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</si>
  <si>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</si>
  <si>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</si>
  <si>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</si>
  <si>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t>CUADRO DE  CAPITAL SUSCRIPTO E INTEGRADO</t>
  </si>
  <si>
    <t>Auditor Interno</t>
  </si>
  <si>
    <t xml:space="preserve">5.            CAPITAL Y PROPIEDAD </t>
  </si>
  <si>
    <t>AUDITOR EXTERNO INDEPENDIENTE</t>
  </si>
  <si>
    <t>Nombre:</t>
  </si>
  <si>
    <t>Dirección:</t>
  </si>
  <si>
    <t>RUC:</t>
  </si>
  <si>
    <t xml:space="preserve">6.            CAPITAL Y PROPIEDAD </t>
  </si>
  <si>
    <t>PERSONAS Y EMPRESAS VINCULADAS</t>
  </si>
  <si>
    <t xml:space="preserve">Director  </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</si>
  <si>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</si>
  <si>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</si>
  <si>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</si>
  <si>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</si>
  <si>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</si>
  <si>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</si>
  <si>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</si>
  <si>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</si>
  <si>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</si>
  <si>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</si>
  <si>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</si>
  <si>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</si>
  <si>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</si>
  <si>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</si>
  <si>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</si>
  <si>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</si>
  <si>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</si>
  <si>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</si>
  <si>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</si>
  <si>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</si>
  <si>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</si>
  <si>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</si>
  <si>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</si>
  <si>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</si>
  <si>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</si>
  <si>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80009706-8</t>
  </si>
  <si>
    <t>Tte. Nuñez 295 entre El Dorado y Tte. Ricardo Cocco</t>
  </si>
  <si>
    <t>021-201.255</t>
  </si>
  <si>
    <t>info@capitalmarkets.com.py</t>
  </si>
  <si>
    <t xml:space="preserve"> www.capitalmarkets.com.py</t>
  </si>
  <si>
    <t xml:space="preserve">Daniel Andrés Moreno Bogarín </t>
  </si>
  <si>
    <t>Rodney Russell Banks Magnani</t>
  </si>
  <si>
    <t>Rómulo Chang Ming Yuan</t>
  </si>
  <si>
    <t>Director Titular</t>
  </si>
  <si>
    <t>Director Suplente</t>
  </si>
  <si>
    <t>Matias Andrés Moreno Pérez</t>
  </si>
  <si>
    <t>Javier Eduardo Benitez Pereira</t>
  </si>
  <si>
    <t>Sindico Suplente</t>
  </si>
  <si>
    <t>Juan Manuel Romero</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</si>
  <si>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</si>
  <si>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Del</t>
  </si>
  <si>
    <t>Al</t>
  </si>
  <si>
    <t>Alberto Acosta</t>
  </si>
  <si>
    <t>II</t>
  </si>
  <si>
    <t>XI</t>
  </si>
  <si>
    <t>LI</t>
  </si>
  <si>
    <t>I</t>
  </si>
  <si>
    <t>XXI</t>
  </si>
  <si>
    <t>Eleonora Scavone</t>
  </si>
  <si>
    <t>X</t>
  </si>
  <si>
    <t>XVIII</t>
  </si>
  <si>
    <t>XXIX</t>
  </si>
  <si>
    <t>XIII</t>
  </si>
  <si>
    <t>XIV</t>
  </si>
  <si>
    <t>Elizabeth Yegros</t>
  </si>
  <si>
    <t>IV</t>
  </si>
  <si>
    <t>VII</t>
  </si>
  <si>
    <t>XXIV</t>
  </si>
  <si>
    <t>Claudia Roa</t>
  </si>
  <si>
    <t>Emerging MC</t>
  </si>
  <si>
    <t>III</t>
  </si>
  <si>
    <t>VIII</t>
  </si>
  <si>
    <t>XXXVII</t>
  </si>
  <si>
    <t>XXXXVI</t>
  </si>
  <si>
    <t>XXV</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</si>
  <si>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</si>
  <si>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</si>
  <si>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</si>
  <si>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</si>
  <si>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</si>
  <si>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</si>
  <si>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</si>
  <si>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</si>
  <si>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</si>
  <si>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</si>
  <si>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</si>
  <si>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</si>
  <si>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</si>
  <si>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</si>
  <si>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</si>
  <si>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</si>
  <si>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</si>
  <si>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</si>
  <si>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</si>
  <si>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</si>
  <si>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</si>
  <si>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</si>
  <si>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</si>
  <si>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</si>
  <si>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</si>
  <si>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</si>
  <si>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</si>
  <si>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</si>
  <si>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</si>
  <si>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</si>
  <si>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XXXIV</t>
  </si>
  <si>
    <t>XXXVI</t>
  </si>
  <si>
    <t>Juan M. Peña</t>
  </si>
  <si>
    <t>Quantum Fund</t>
  </si>
  <si>
    <t>XXXV</t>
  </si>
  <si>
    <t>Sergio Britos</t>
  </si>
  <si>
    <t>SSBank</t>
  </si>
  <si>
    <t>XXXXIV</t>
  </si>
  <si>
    <t>XXXXV</t>
  </si>
  <si>
    <t>Cheng Fang Hsiao</t>
  </si>
  <si>
    <t>Carlos Martin Santiago Storm Garcete</t>
  </si>
  <si>
    <t>Jorge Alberto Storm Garcete</t>
  </si>
  <si>
    <t>Celeste Huergo Vietto</t>
  </si>
  <si>
    <t>Daniel Moreno</t>
  </si>
  <si>
    <t>Rodney Russell Banks</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</si>
  <si>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</si>
  <si>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Ordinarias Nominativas</t>
  </si>
  <si>
    <t>Preferidas Nominativas</t>
  </si>
  <si>
    <t>Porcentaje</t>
  </si>
  <si>
    <t>Bancop Cta. Corrientes USD 0410142603</t>
  </si>
  <si>
    <t>El Comercio Cta. Ahorro USD.</t>
  </si>
  <si>
    <t>Bancop Caja de Ahorro JS USD 0410165042</t>
  </si>
  <si>
    <t>Inversiones En Bonos Usd Cp</t>
  </si>
  <si>
    <t>s/ Cuentas pasivas</t>
  </si>
  <si>
    <t>Bancop Cta.Cte.GS 0410015970</t>
  </si>
  <si>
    <t>Bancop Cta. Propia CMCB GS 0410145254</t>
  </si>
  <si>
    <t>El Comercio Cta. Ahorro Guaraníes</t>
  </si>
  <si>
    <t>Tu Financiera Ahorro Gs.</t>
  </si>
  <si>
    <t>Bancop Caja de Ahorro HCHW GS 0410168122</t>
  </si>
  <si>
    <t>Bancop Caja de Ahorro CH GS 0410168114</t>
  </si>
  <si>
    <t>TRANSFERENCIAS PENDIENTES DE CLEARING</t>
  </si>
  <si>
    <t>Bancop Caja de Ahorro CHFC GS 0410165034</t>
  </si>
  <si>
    <t>Remuneración a Rendir</t>
  </si>
  <si>
    <t>Intereses a Vencer</t>
  </si>
  <si>
    <r>
      <t>b-</t>
    </r>
    <r>
      <rPr>
        <b/>
        <sz val="10"/>
        <color indexed="8"/>
        <rFont val="Arial Nova"/>
        <family val="2"/>
      </rPr>
      <t>      Otros Activos No Corrientes</t>
    </r>
  </si>
  <si>
    <t>Otros Activos no Corrientes(Nota 5. j)</t>
  </si>
  <si>
    <t>Deudores En Gestión De Cobro – Morosos O Similares</t>
  </si>
  <si>
    <t>Bancop S.A.</t>
  </si>
  <si>
    <t>Oliservice SRL</t>
  </si>
  <si>
    <t>Zusa SACI</t>
  </si>
  <si>
    <t>Venecia SA</t>
  </si>
  <si>
    <t>Essap S.A.</t>
  </si>
  <si>
    <t>Copaco SA</t>
  </si>
  <si>
    <t>Distribuidora El Arte</t>
  </si>
  <si>
    <t>Juan Carlos Busto</t>
  </si>
  <si>
    <t>Lux Professional SA</t>
  </si>
  <si>
    <t>AMX Paraguay SA</t>
  </si>
  <si>
    <t>Telefonía Celular del Paraguay</t>
  </si>
  <si>
    <t>Escribania Maria Idelina Villalba</t>
  </si>
  <si>
    <t>Varios</t>
  </si>
  <si>
    <t>Rodney Banks</t>
  </si>
  <si>
    <t>CYCE</t>
  </si>
  <si>
    <t>Hsiu Chen Wang</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</si>
  <si>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</si>
  <si>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</si>
  <si>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</si>
  <si>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</si>
  <si>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</si>
  <si>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</si>
  <si>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</si>
  <si>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</si>
  <si>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</si>
  <si>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           Eleonora Scavone</t>
  </si>
  <si>
    <t>-           Quantum Fund</t>
  </si>
  <si>
    <t>-           SSBank</t>
  </si>
  <si>
    <t>-           Sergio Britos</t>
  </si>
  <si>
    <t>-           Emerging MC</t>
  </si>
  <si>
    <t>-           Juan M. Peña</t>
  </si>
  <si>
    <t>-           Hernán Velilla</t>
  </si>
  <si>
    <t>-           Elizabeth Yegros</t>
  </si>
  <si>
    <t>-           Alberto Acosta</t>
  </si>
  <si>
    <t>Acreedores Varios Vinculados (Nota 5. o)</t>
  </si>
  <si>
    <t>Ingresos Varios</t>
  </si>
  <si>
    <t>Dividendos Cobrados</t>
  </si>
  <si>
    <t>Comisiones Cobradas</t>
  </si>
  <si>
    <t>Preaviso</t>
  </si>
  <si>
    <t>Préstamo Bancop SA</t>
  </si>
  <si>
    <t xml:space="preserve">Préstamos </t>
  </si>
  <si>
    <t>-           Jorge Storm</t>
  </si>
  <si>
    <t>Bancop</t>
  </si>
  <si>
    <t>Descuentos Concedidos</t>
  </si>
  <si>
    <t>Dividendos Pagados</t>
  </si>
  <si>
    <t>Activos Intangibles</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</si>
  <si>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</si>
  <si>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</si>
  <si>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</si>
  <si>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</si>
  <si>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</si>
  <si>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</si>
  <si>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</si>
  <si>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</si>
  <si>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</si>
  <si>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</si>
  <si>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</si>
  <si>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</si>
  <si>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</si>
  <si>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</si>
  <si>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</si>
  <si>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</si>
  <si>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</si>
  <si>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</si>
  <si>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</si>
  <si>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Christian Jose Ricciardi Blasco</t>
  </si>
  <si>
    <t>Municipalidad de Villarrica</t>
  </si>
  <si>
    <t>122/07</t>
  </si>
  <si>
    <t xml:space="preserve">La acción que Capital Markets Casa de Bolsa S.A., posee en la Bolsa de Valores y Productos de Asunción Sociedad Anónima (BVPASA) al 31 de diciembre de 2021 se encuentra valuada al último valor negociado en el Mercado. </t>
  </si>
  <si>
    <t>r.1)  Saldos con personas u empresas relacionadas</t>
  </si>
  <si>
    <t>PARTE RELACIONADA</t>
  </si>
  <si>
    <t>RELACION</t>
  </si>
  <si>
    <t>r.2)  Transacciones con personas u empresas relacionadas</t>
  </si>
  <si>
    <t>Ingresos</t>
  </si>
  <si>
    <t>Comisiones por operaciones</t>
  </si>
  <si>
    <t>Vice- Presidente</t>
  </si>
  <si>
    <t>Egresos</t>
  </si>
  <si>
    <t>Remuneracion Personal Superior</t>
  </si>
  <si>
    <t xml:space="preserve">CH </t>
  </si>
  <si>
    <t>CFH</t>
  </si>
  <si>
    <t>JS</t>
  </si>
  <si>
    <t>HCW</t>
  </si>
  <si>
    <t>Agroganadera 43 S.A.</t>
  </si>
  <si>
    <t>BANCO GNB PARAGUAY S.A.</t>
  </si>
  <si>
    <t>Cidesa</t>
  </si>
  <si>
    <t>Fernando Bogarin</t>
  </si>
  <si>
    <t>Katuete SRL</t>
  </si>
  <si>
    <t>SUDAMERIS BANK SAECA</t>
  </si>
  <si>
    <t>SUNDIN STEINAR BENGT</t>
  </si>
  <si>
    <t>TAPE PORA S.A.</t>
  </si>
  <si>
    <t>Vision Banco SAECA</t>
  </si>
  <si>
    <t>Sueldos y jornales</t>
  </si>
  <si>
    <t>ANDE</t>
  </si>
  <si>
    <t>Fernando Villamayor</t>
  </si>
  <si>
    <t>Nucleo</t>
  </si>
  <si>
    <t>Todobrillo</t>
  </si>
  <si>
    <t>Bancop Cuenta Clearing USD</t>
  </si>
  <si>
    <t>Bancop Cta. Clearing Gs.</t>
  </si>
  <si>
    <t>No se registran cambios en cuenta a criterios contables con respecto al ejercicio anterior cerrado</t>
  </si>
  <si>
    <t>Bvpasa / Adelanto de Arancel</t>
  </si>
  <si>
    <t>Anticipo de Clientes</t>
  </si>
  <si>
    <t>Tarjeta Empresarial</t>
  </si>
  <si>
    <t>Servicio SEN / BVA</t>
  </si>
  <si>
    <t>Utilidad/Pérdida En Venta De Inversiones</t>
  </si>
  <si>
    <t>Iva Costo</t>
  </si>
  <si>
    <t>Otros Ingresos Financieros</t>
  </si>
  <si>
    <t xml:space="preserve"> Ueno Caja de Ahorro USD.</t>
  </si>
  <si>
    <t>Ueno Caja de  Ahorro Guaraníes</t>
  </si>
  <si>
    <t>Ueno Caja de Ahorro USD.</t>
  </si>
  <si>
    <t>Otros deudores</t>
  </si>
  <si>
    <t>DLS TECHNOLOGY S.A</t>
  </si>
  <si>
    <t xml:space="preserve"> La Agrícola S.A. de Seguros Generales</t>
  </si>
  <si>
    <t>Otros Activos Corrientes</t>
  </si>
  <si>
    <t>Comisiones Pagadas sobre Ventas</t>
  </si>
  <si>
    <t>Cefisa Cta. de ahorro Gs.</t>
  </si>
  <si>
    <t>Agustin Huergo</t>
  </si>
  <si>
    <t>Alicia Mercedes Gonzalez Villalba</t>
  </si>
  <si>
    <t>Angelica Ines Aya</t>
  </si>
  <si>
    <t>Blas Guillen</t>
  </si>
  <si>
    <t>Burkhard Tristan Heydrich</t>
  </si>
  <si>
    <t>Cesar Ariel Chansin</t>
  </si>
  <si>
    <t>Diego Emilio Villalba Avila</t>
  </si>
  <si>
    <t>Emilio Javier Brizuela Benitez</t>
  </si>
  <si>
    <t>Enzo Mosqueda</t>
  </si>
  <si>
    <t>Hilda Marina Velasquez Franco</t>
  </si>
  <si>
    <t>Joel Rolando Rebey Amarilla</t>
  </si>
  <si>
    <t>Jose David Rolon Bogado</t>
  </si>
  <si>
    <t>Julio Cesar Cristaldo</t>
  </si>
  <si>
    <t>Lizza Viviana Acuña</t>
  </si>
  <si>
    <t>Luis Duran Downing</t>
  </si>
  <si>
    <t xml:space="preserve">Nuria Lezcano </t>
  </si>
  <si>
    <t>Oscar Milciades Urbieta Acosta</t>
  </si>
  <si>
    <t>Wilson David Franco Zelaya</t>
  </si>
  <si>
    <t>Avalon Casa de Bolsa</t>
  </si>
  <si>
    <t>Itau Invest Casa de Bolsa S.A.</t>
  </si>
  <si>
    <t>Tarjeta De Credito Empresarial</t>
  </si>
  <si>
    <t>Salarios a Pagar</t>
  </si>
  <si>
    <t>vicepresidente</t>
  </si>
  <si>
    <t>Comisiones s/ Ventas</t>
  </si>
  <si>
    <t>Registro de Administración de Cartera</t>
  </si>
  <si>
    <t>Deudores por Operaciones</t>
  </si>
  <si>
    <t>Jorge Storm</t>
  </si>
  <si>
    <t>Servicios Financieros</t>
  </si>
  <si>
    <t>GNB - Clearing Gs</t>
  </si>
  <si>
    <t>GNB - Clearing USD</t>
  </si>
  <si>
    <t>Recupero de Gastos BVA</t>
  </si>
  <si>
    <t>Información al 30 /09 /2023</t>
  </si>
  <si>
    <t>Documentos a cobrar – Funcionarios</t>
  </si>
  <si>
    <t>Documentos a cobrar – Dividendos</t>
  </si>
  <si>
    <t>Akihiko Kataoka Shimizu</t>
  </si>
  <si>
    <t>Ana Graciela Mejia Servellon</t>
  </si>
  <si>
    <t>ARTAZA HERMANOS COMERCIAL E INDUSTRIAL SA</t>
  </si>
  <si>
    <t>BANCO REGIONAL SAECA</t>
  </si>
  <si>
    <t>Jose Fernando Gil</t>
  </si>
  <si>
    <t>CLOSER E.A.S UNIPERSONAL</t>
  </si>
  <si>
    <t>DATA SYSTEMS SA EMISORA DE CAPITAL ABIERTO</t>
  </si>
  <si>
    <t>Luis Alfredo Robles</t>
  </si>
  <si>
    <t>PAMAQ S.A.</t>
  </si>
  <si>
    <t>PCG Auditores - Consultores</t>
  </si>
  <si>
    <t>Fernando Javier Villamayor Bogarin</t>
  </si>
  <si>
    <t>80020816-1</t>
  </si>
  <si>
    <t>Yegros N° 3144</t>
  </si>
  <si>
    <t>(021) 203 965</t>
  </si>
  <si>
    <t>1186/09</t>
  </si>
  <si>
    <t>Inversiones En Cda Usd</t>
  </si>
  <si>
    <t>Finexpar Ahorro Gs.</t>
  </si>
  <si>
    <t>Asu Capital Casa de Bolsa SA</t>
  </si>
  <si>
    <t>SUDAMERIS SECURITIES CASA DE BOLSA S.A.</t>
  </si>
  <si>
    <t>Claudia Marcela Roa</t>
  </si>
  <si>
    <t>Esencia News</t>
  </si>
  <si>
    <t>LOPEZ ZARACHO ALBERTO GABRIEL</t>
  </si>
  <si>
    <t>Open Technologies S.A</t>
  </si>
  <si>
    <t>Numero</t>
  </si>
  <si>
    <t>Accionista</t>
  </si>
  <si>
    <t>Serie</t>
  </si>
  <si>
    <t>Titulo N°</t>
  </si>
  <si>
    <t>Clase</t>
  </si>
  <si>
    <t>Cantidad de acciones</t>
  </si>
  <si>
    <t>Cantidad de votos</t>
  </si>
  <si>
    <t>Total</t>
  </si>
  <si>
    <t>XXXIII</t>
  </si>
  <si>
    <t xml:space="preserve">XXXVI </t>
  </si>
  <si>
    <t>LIII</t>
  </si>
  <si>
    <t>Romulo Yuan</t>
  </si>
  <si>
    <t>Wu Ming Chi</t>
  </si>
  <si>
    <t>Gabriela Cabral</t>
  </si>
  <si>
    <t>Preferida</t>
  </si>
  <si>
    <t>Ceidor S.R.L</t>
  </si>
  <si>
    <t>Cristian Maximiliano Romero Muller</t>
  </si>
  <si>
    <t>TOTAL GENERAL</t>
  </si>
  <si>
    <t>Distribución de Acciones</t>
  </si>
  <si>
    <t>Intereses a Cobrar Usd</t>
  </si>
  <si>
    <t>Fondos Mutuos Usd</t>
  </si>
  <si>
    <t>Puente AFIPSA</t>
  </si>
  <si>
    <t>Administracion de Cartera / Inversiones</t>
  </si>
  <si>
    <t>Colocacion de Acciones</t>
  </si>
  <si>
    <t>BALANCE GENERAL al 31/12/2023 presentado en forma comparativa con el ejercicio anterior cerrado el 31/12/2022.  (En guaraníes)</t>
  </si>
  <si>
    <t>ESTADO DE RESULTADOS CORRESPONDIENTE AL 31/12/2023 PRESENTADO EN FORMA COMPARATIVA CON EL 31/12/2022. (En guaraníes)</t>
  </si>
  <si>
    <t>CORRESPONDIENTE AL 31/12/2023 PRESENTADO EN FORMA COMPARATIVA CON EL PERIODO AL 31/12/2022</t>
  </si>
  <si>
    <t xml:space="preserve">CORRESPONDIENTE AL 31-12-2023 PRESENTADO EN FORMA COMPARATIVA CON EL PERIODO AL 31-12-2022 </t>
  </si>
  <si>
    <t xml:space="preserve">Los presentes Estados Financieros (Balance General, Estado de Resultados, Estado de Flujo de Efectivo y Estado de Variación del Patrimonio Neto) correspondientes al 31 de Diciembre de 2023 se considerado y aprobado por la reunion de directorio N° </t>
  </si>
  <si>
    <t>3.1.             Los Estados Financieros al 31/12/2023, han sido preparados de acuerdo de acuerdo con Normas de Información Financiera emitidas por el Consejo de Contadores Públicos del Paraguay y
criterios de valuación y exposición dictados por la Comisión Nacional de Valores.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</si>
</sst>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00_-;\-* #,##0.00_-;_-* &quot;-&quot;??_-;_-@_-"/>
    <numFmt numFmtId="165" formatCode="_-* #,##0_-;\-* #,##0_-;_-* &quot;-&quot;??_-;_-@_-"/>
    <numFmt numFmtId="166" formatCode="_(* #,##0.00_);_(* \(#,##0.00\);_(* \-??_);_(@_)"/>
    <numFmt numFmtId="167" formatCode="_-* #,##0.00\ _€_-;\-* #,##0.00\ _€_-;_-* &quot;-&quot;??\ _€_-;_-@_-"/>
    <numFmt numFmtId="168" formatCode="&quot;₲&quot;\ #,##0"/>
    <numFmt numFmtId="169" formatCode="dd/mm/yyyy;@"/>
    <numFmt numFmtId="170" formatCode="_-* #,##0\ _€_-;\-* #,##0\ _€_-;_-* &quot;-&quot;??\ _€_-;_-@_-"/>
  </numFmts>
  <fonts count="107">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
      <sz val="10"/>
      <name val="Verdana"/>
      <family val="2"/>
    </font>
    <font>
      <sz val="11"/>
      <color rgb="FF000000"/>
      <name val="Calibri"/>
      <family val="2"/>
      <scheme val="minor"/>
    </font>
    <font>
      <b/>
      <sz val="8"/>
      <color theme="4" tint="-0.249977111117893"/>
      <name val="Arial Nova"/>
      <family val="2"/>
    </font>
    <font>
      <b/>
      <sz val="10"/>
      <color theme="4"/>
      <name val="Arial Nova"/>
      <family val="2"/>
    </font>
    <font>
      <sz val="7"/>
      <color theme="1"/>
      <name val="Calibri"/>
      <family val="2"/>
      <scheme val="minor"/>
    </font>
    <font>
      <b/>
      <sz val="7"/>
      <color theme="4" tint="-0.249977111117893"/>
      <name val="Arial Nova"/>
      <family val="2"/>
    </font>
  </fonts>
  <fills count="11">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
      <patternFill patternType="solid">
        <fgColor theme="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rgb="FF000000"/>
      </left>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style="thin">
        <color rgb="FF000000"/>
      </top>
      <bottom style="thin">
        <color rgb="FF000000"/>
      </bottom>
      <diagonal/>
    </border>
  </borders>
  <cellStyleXfs count="10">
    <xf numFmtId="0" fontId="0" fillId="0" borderId="0"/>
    <xf numFmtId="0" fontId="13" fillId="0" borderId="0"/>
    <xf numFmtId="164" fontId="14" fillId="0" borderId="0" applyFont="0" applyFill="0" applyBorder="0" applyAlignment="0" applyProtection="0"/>
    <xf numFmtId="41"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9" fontId="14" fillId="0" borderId="0" applyFont="0" applyFill="0" applyBorder="0" applyAlignment="0" applyProtection="0"/>
    <xf numFmtId="41" fontId="14" fillId="0" borderId="0" applyFont="0" applyFill="0" applyBorder="0" applyAlignment="0" applyProtection="0"/>
    <xf numFmtId="0" fontId="41" fillId="10" borderId="0" applyNumberFormat="0" applyBorder="0" applyAlignment="0" applyProtection="0"/>
  </cellStyleXfs>
  <cellXfs count="489">
    <xf numFmtId="0" fontId="0" fillId="0" borderId="0" xfId="0"/>
    <xf numFmtId="0" fontId="15" fillId="0" borderId="0" xfId="0" applyFont="1"/>
    <xf numFmtId="0" fontId="16" fillId="0" borderId="0" xfId="0" applyFont="1" applyAlignment="1">
      <alignment horizontal="left" vertical="center" indent="5"/>
    </xf>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left" vertical="center" wrapText="1"/>
    </xf>
    <xf numFmtId="4"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0" fontId="24" fillId="0" borderId="0" xfId="0" applyFont="1" applyAlignment="1">
      <alignment horizontal="right" vertical="center"/>
    </xf>
    <xf numFmtId="3" fontId="0" fillId="0" borderId="0" xfId="0" applyNumberFormat="1"/>
    <xf numFmtId="0" fontId="29" fillId="0" borderId="0" xfId="0" applyFont="1" applyAlignment="1">
      <alignment horizontal="right" vertical="center"/>
    </xf>
    <xf numFmtId="3" fontId="30" fillId="0" borderId="0" xfId="0" applyNumberFormat="1"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right" vertical="center"/>
    </xf>
    <xf numFmtId="0" fontId="28" fillId="0" borderId="0" xfId="0" applyFont="1" applyAlignment="1">
      <alignment horizontal="right" vertical="center"/>
    </xf>
    <xf numFmtId="165" fontId="0" fillId="0" borderId="0" xfId="0" applyNumberFormat="1"/>
    <xf numFmtId="0" fontId="34" fillId="0" borderId="0" xfId="0" applyFont="1"/>
    <xf numFmtId="0" fontId="35" fillId="0" borderId="0" xfId="0" applyFont="1"/>
    <xf numFmtId="165" fontId="35" fillId="0" borderId="0" xfId="2" applyNumberFormat="1" applyFont="1"/>
    <xf numFmtId="164" fontId="31" fillId="0" borderId="0" xfId="2" applyFont="1" applyBorder="1" applyAlignment="1">
      <alignment horizontal="right" vertical="center"/>
    </xf>
    <xf numFmtId="0" fontId="31" fillId="0" borderId="0" xfId="0" applyFont="1" applyAlignment="1">
      <alignment horizontal="right" vertical="center" wrapText="1"/>
    </xf>
    <xf numFmtId="0" fontId="28" fillId="0" borderId="0" xfId="0" applyFont="1" applyAlignment="1">
      <alignment horizontal="right" vertical="center" wrapText="1"/>
    </xf>
    <xf numFmtId="0" fontId="28" fillId="0" borderId="0" xfId="0" applyFont="1" applyAlignment="1">
      <alignment vertical="center"/>
    </xf>
    <xf numFmtId="0" fontId="36" fillId="0" borderId="0" xfId="0" applyFont="1"/>
    <xf numFmtId="3" fontId="36" fillId="0" borderId="0" xfId="0" applyNumberFormat="1" applyFont="1"/>
    <xf numFmtId="0" fontId="12" fillId="0" borderId="1" xfId="0" applyFont="1" applyBorder="1" applyAlignment="1">
      <alignment vertical="center" wrapText="1"/>
    </xf>
    <xf numFmtId="0" fontId="30" fillId="0" borderId="0" xfId="0" applyFont="1" applyAlignment="1">
      <alignment horizontal="center" vertical="center"/>
    </xf>
    <xf numFmtId="0" fontId="33" fillId="0" borderId="0" xfId="0" applyFont="1" applyAlignment="1">
      <alignment horizontal="right" vertical="center"/>
    </xf>
    <xf numFmtId="0" fontId="40" fillId="0" borderId="0" xfId="0" applyFont="1"/>
    <xf numFmtId="3" fontId="35" fillId="0" borderId="0" xfId="0" applyNumberFormat="1" applyFont="1"/>
    <xf numFmtId="0" fontId="41" fillId="0" borderId="0" xfId="0" applyFont="1"/>
    <xf numFmtId="165" fontId="35" fillId="0" borderId="0" xfId="0" applyNumberFormat="1" applyFont="1"/>
    <xf numFmtId="1" fontId="35" fillId="0" borderId="0" xfId="0" applyNumberFormat="1" applyFont="1"/>
    <xf numFmtId="3" fontId="0" fillId="0" borderId="1" xfId="0" applyNumberFormat="1" applyBorder="1"/>
    <xf numFmtId="0" fontId="26" fillId="0" borderId="1" xfId="0" applyFont="1" applyBorder="1" applyAlignment="1">
      <alignment vertical="center"/>
    </xf>
    <xf numFmtId="165" fontId="26" fillId="0" borderId="1" xfId="2" applyNumberFormat="1" applyFont="1" applyFill="1" applyBorder="1" applyAlignment="1">
      <alignment horizontal="right" vertical="center"/>
    </xf>
    <xf numFmtId="0" fontId="24" fillId="0" borderId="1" xfId="0" applyFont="1" applyBorder="1" applyAlignment="1">
      <alignment vertical="center"/>
    </xf>
    <xf numFmtId="165" fontId="24" fillId="0" borderId="1" xfId="2" applyNumberFormat="1" applyFont="1" applyBorder="1" applyAlignment="1">
      <alignment horizontal="right" vertical="center"/>
    </xf>
    <xf numFmtId="3" fontId="0" fillId="0" borderId="1" xfId="0" applyNumberFormat="1" applyBorder="1" applyAlignment="1">
      <alignment wrapText="1"/>
    </xf>
    <xf numFmtId="165" fontId="31" fillId="0" borderId="1" xfId="2" applyNumberFormat="1" applyFont="1" applyFill="1" applyBorder="1" applyAlignment="1">
      <alignment horizontal="right" vertical="center"/>
    </xf>
    <xf numFmtId="165"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Border="1" applyAlignment="1">
      <alignment horizontal="right" vertical="center" wrapText="1"/>
    </xf>
    <xf numFmtId="165"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5"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5" fontId="28" fillId="0" borderId="1" xfId="2" applyNumberFormat="1" applyFont="1" applyBorder="1" applyAlignment="1">
      <alignment horizontal="right" vertical="center" wrapText="1"/>
    </xf>
    <xf numFmtId="165"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5" fontId="29" fillId="0" borderId="1" xfId="2" applyNumberFormat="1" applyFont="1" applyFill="1" applyBorder="1" applyAlignment="1">
      <alignment horizontal="right" vertical="center"/>
    </xf>
    <xf numFmtId="165" fontId="29" fillId="0" borderId="1" xfId="2" applyNumberFormat="1" applyFont="1" applyBorder="1" applyAlignment="1">
      <alignment horizontal="right" vertical="center"/>
    </xf>
    <xf numFmtId="0" fontId="30" fillId="0" borderId="1" xfId="0" applyFont="1" applyBorder="1" applyAlignment="1">
      <alignment vertical="center"/>
    </xf>
    <xf numFmtId="165"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48" fillId="0" borderId="1" xfId="0" applyFont="1" applyBorder="1" applyAlignment="1">
      <alignment horizontal="right" vertical="center"/>
    </xf>
    <xf numFmtId="0" fontId="47" fillId="0" borderId="1" xfId="0" applyFont="1" applyBorder="1" applyAlignment="1">
      <alignment horizontal="right" vertical="center"/>
    </xf>
    <xf numFmtId="3" fontId="32" fillId="0" borderId="1" xfId="0" applyNumberFormat="1" applyFont="1" applyBorder="1" applyAlignment="1">
      <alignment horizontal="right" vertical="center"/>
    </xf>
    <xf numFmtId="0" fontId="46"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3" fontId="9" fillId="0" borderId="1" xfId="0" applyNumberFormat="1" applyFont="1" applyBorder="1" applyAlignment="1">
      <alignment horizontal="right" vertical="center" wrapText="1"/>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8" xfId="0" applyNumberFormat="1" applyFont="1" applyBorder="1" applyAlignment="1">
      <alignment horizontal="right" vertical="center" wrapText="1"/>
    </xf>
    <xf numFmtId="3" fontId="7" fillId="0" borderId="18" xfId="0" applyNumberFormat="1" applyFont="1" applyBorder="1" applyAlignment="1">
      <alignment horizontal="right" vertical="center" wrapText="1"/>
    </xf>
    <xf numFmtId="0" fontId="7" fillId="0" borderId="18" xfId="0" applyFont="1" applyBorder="1" applyAlignment="1">
      <alignment horizontal="right" vertical="center" wrapText="1"/>
    </xf>
    <xf numFmtId="165" fontId="7" fillId="0" borderId="18" xfId="2" applyNumberFormat="1" applyFont="1" applyBorder="1" applyAlignment="1">
      <alignment horizontal="right" vertical="center" wrapText="1"/>
    </xf>
    <xf numFmtId="0" fontId="3" fillId="0" borderId="18" xfId="0" applyFont="1" applyBorder="1" applyAlignment="1">
      <alignment horizontal="right" vertical="center" wrapText="1"/>
    </xf>
    <xf numFmtId="0" fontId="37" fillId="0" borderId="18" xfId="0" applyFont="1" applyBorder="1" applyAlignment="1">
      <alignment vertical="top" wrapText="1"/>
    </xf>
    <xf numFmtId="4" fontId="45" fillId="0" borderId="1" xfId="0" applyNumberFormat="1" applyFont="1" applyBorder="1" applyAlignment="1">
      <alignment vertical="top" wrapText="1"/>
    </xf>
    <xf numFmtId="3" fontId="45" fillId="0" borderId="1" xfId="0" applyNumberFormat="1" applyFont="1" applyBorder="1" applyAlignment="1">
      <alignment vertical="top" wrapText="1"/>
    </xf>
    <xf numFmtId="4" fontId="44" fillId="0" borderId="1" xfId="0" applyNumberFormat="1" applyFont="1" applyBorder="1" applyAlignment="1">
      <alignment horizontal="center" vertical="center" wrapText="1"/>
    </xf>
    <xf numFmtId="165" fontId="28" fillId="0" borderId="0" xfId="0" applyNumberFormat="1" applyFont="1" applyAlignment="1">
      <alignment horizontal="right" vertical="center"/>
    </xf>
    <xf numFmtId="3" fontId="26" fillId="0" borderId="1" xfId="0" applyNumberFormat="1" applyFont="1" applyBorder="1" applyAlignment="1">
      <alignment horizontal="right" vertical="center" wrapText="1"/>
    </xf>
    <xf numFmtId="0" fontId="24" fillId="0" borderId="0" xfId="0" applyFont="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4" fontId="45" fillId="0" borderId="1" xfId="0" applyNumberFormat="1" applyFont="1" applyBorder="1" applyAlignment="1">
      <alignment horizontal="center" vertical="top" wrapText="1"/>
    </xf>
    <xf numFmtId="0" fontId="61" fillId="0" borderId="0" xfId="0" applyFont="1" applyAlignment="1">
      <alignment horizontal="justify" vertical="center"/>
    </xf>
    <xf numFmtId="0" fontId="59"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9" fillId="0" borderId="1" xfId="0" applyFont="1" applyBorder="1" applyAlignment="1">
      <alignment vertical="center"/>
    </xf>
    <xf numFmtId="165" fontId="59" fillId="0" borderId="1" xfId="2" applyNumberFormat="1" applyFont="1" applyFill="1" applyBorder="1" applyAlignment="1">
      <alignment horizontal="right" vertical="center" wrapText="1"/>
    </xf>
    <xf numFmtId="165" fontId="59" fillId="0" borderId="1" xfId="2" applyNumberFormat="1" applyFont="1" applyFill="1" applyBorder="1" applyAlignment="1">
      <alignment horizontal="right" vertical="center"/>
    </xf>
    <xf numFmtId="0" fontId="61" fillId="0" borderId="0" xfId="0" applyFont="1" applyAlignment="1">
      <alignment vertical="center"/>
    </xf>
    <xf numFmtId="0" fontId="10" fillId="0" borderId="1" xfId="0" applyFont="1" applyBorder="1" applyAlignment="1">
      <alignment horizontal="justify" vertical="center" wrapText="1"/>
    </xf>
    <xf numFmtId="3" fontId="10" fillId="0" borderId="1" xfId="0" applyNumberFormat="1" applyFont="1" applyBorder="1" applyAlignment="1">
      <alignment horizontal="right" vertical="center" wrapText="1"/>
    </xf>
    <xf numFmtId="0" fontId="61" fillId="0" borderId="1" xfId="0" applyFont="1" applyBorder="1" applyAlignment="1">
      <alignment horizontal="justify" vertical="center" wrapText="1"/>
    </xf>
    <xf numFmtId="3" fontId="61"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61" fillId="0" borderId="1" xfId="0" applyFont="1" applyBorder="1" applyAlignment="1">
      <alignment horizontal="right" vertical="center" wrapText="1"/>
    </xf>
    <xf numFmtId="0" fontId="24" fillId="0" borderId="0" xfId="0" applyFont="1" applyAlignment="1">
      <alignment horizontal="center" vertical="center"/>
    </xf>
    <xf numFmtId="0" fontId="65" fillId="5" borderId="0" xfId="0" applyFont="1" applyFill="1" applyAlignment="1">
      <alignment vertical="center"/>
    </xf>
    <xf numFmtId="0" fontId="66" fillId="0" borderId="0" xfId="0" applyFont="1"/>
    <xf numFmtId="0" fontId="22" fillId="0" borderId="0" xfId="0" applyFont="1"/>
    <xf numFmtId="0" fontId="64" fillId="0" borderId="0" xfId="0" applyFont="1" applyAlignment="1">
      <alignment horizontal="left" wrapText="1"/>
    </xf>
    <xf numFmtId="0" fontId="68" fillId="0" borderId="0" xfId="0" applyFont="1" applyAlignment="1">
      <alignment horizontal="justify" vertical="center"/>
    </xf>
    <xf numFmtId="0" fontId="70" fillId="0" borderId="0" xfId="0" applyFont="1"/>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4" fillId="0" borderId="0" xfId="0" applyFont="1" applyAlignment="1">
      <alignment vertical="center"/>
    </xf>
    <xf numFmtId="3" fontId="70" fillId="0" borderId="0" xfId="0" applyNumberFormat="1" applyFont="1"/>
    <xf numFmtId="0" fontId="68" fillId="0" borderId="0" xfId="0" applyFont="1" applyAlignment="1">
      <alignment horizontal="left" wrapText="1"/>
    </xf>
    <xf numFmtId="165" fontId="70" fillId="0" borderId="3" xfId="2" applyNumberFormat="1" applyFont="1" applyFill="1" applyBorder="1" applyAlignment="1">
      <alignment horizontal="right" vertical="center"/>
    </xf>
    <xf numFmtId="165" fontId="76" fillId="0" borderId="0" xfId="2" applyNumberFormat="1" applyFont="1" applyFill="1" applyBorder="1" applyAlignment="1">
      <alignment horizontal="right" vertical="center"/>
    </xf>
    <xf numFmtId="49" fontId="70" fillId="0" borderId="10" xfId="0" applyNumberFormat="1" applyFont="1" applyBorder="1" applyAlignment="1">
      <alignment horizontal="left" vertical="center" indent="5"/>
    </xf>
    <xf numFmtId="0" fontId="74" fillId="0" borderId="0" xfId="0" applyFont="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8" fontId="66" fillId="0" borderId="1" xfId="0" applyNumberFormat="1" applyFont="1" applyBorder="1" applyAlignment="1">
      <alignment horizontal="right" vertical="center"/>
    </xf>
    <xf numFmtId="0" fontId="65" fillId="0" borderId="0" xfId="0" applyFont="1" applyAlignment="1">
      <alignment vertical="center"/>
    </xf>
    <xf numFmtId="10" fontId="78" fillId="0" borderId="1" xfId="7" applyNumberFormat="1" applyFont="1" applyBorder="1" applyAlignment="1">
      <alignment horizontal="center"/>
    </xf>
    <xf numFmtId="0" fontId="75" fillId="0" borderId="0" xfId="0" applyFont="1"/>
    <xf numFmtId="0" fontId="0" fillId="0" borderId="0" xfId="0" applyAlignment="1">
      <alignment horizontal="center"/>
    </xf>
    <xf numFmtId="169" fontId="0" fillId="0" borderId="1" xfId="0" applyNumberFormat="1" applyBorder="1"/>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vertical="center" wrapText="1"/>
    </xf>
    <xf numFmtId="0" fontId="87" fillId="7" borderId="11" xfId="0" applyFont="1" applyFill="1" applyBorder="1" applyAlignment="1">
      <alignment horizontal="center" vertical="center"/>
    </xf>
    <xf numFmtId="0" fontId="87" fillId="7" borderId="12"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0" fontId="16" fillId="0" borderId="0" xfId="0" applyFont="1" applyAlignment="1">
      <alignment vertical="center"/>
    </xf>
    <xf numFmtId="0" fontId="0" fillId="5" borderId="0" xfId="0" applyFill="1" applyAlignment="1">
      <alignment horizontal="center"/>
    </xf>
    <xf numFmtId="1" fontId="65" fillId="5" borderId="0" xfId="0" applyNumberFormat="1" applyFont="1" applyFill="1" applyAlignment="1">
      <alignmen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0" fontId="78" fillId="0" borderId="6" xfId="7" applyNumberFormat="1" applyFont="1" applyBorder="1" applyAlignment="1">
      <alignment horizont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3" fontId="59" fillId="0" borderId="1" xfId="0" applyNumberFormat="1" applyFont="1" applyBorder="1" applyAlignment="1">
      <alignment horizontal="center" vertical="center"/>
    </xf>
    <xf numFmtId="0" fontId="96" fillId="7" borderId="1" xfId="0" applyFont="1" applyFill="1" applyBorder="1" applyAlignment="1">
      <alignment horizontal="center"/>
    </xf>
    <xf numFmtId="165" fontId="24" fillId="0" borderId="0" xfId="2" applyNumberFormat="1" applyFont="1" applyBorder="1" applyAlignment="1">
      <alignment horizontal="right" vertical="center"/>
    </xf>
    <xf numFmtId="165" fontId="24" fillId="0" borderId="0" xfId="2" applyNumberFormat="1" applyFont="1" applyFill="1" applyBorder="1" applyAlignment="1">
      <alignment horizontal="right" vertical="center"/>
    </xf>
    <xf numFmtId="0" fontId="87" fillId="0" borderId="0" xfId="0" applyFont="1" applyAlignment="1">
      <alignment horizontal="center" vertical="center"/>
    </xf>
    <xf numFmtId="41" fontId="9" fillId="0" borderId="1" xfId="3" applyFont="1" applyFill="1" applyBorder="1" applyAlignment="1">
      <alignment horizontal="center" vertical="center"/>
    </xf>
    <xf numFmtId="0" fontId="87" fillId="7" borderId="22" xfId="0" applyFont="1" applyFill="1" applyBorder="1" applyAlignment="1">
      <alignment horizontal="center" vertical="center"/>
    </xf>
    <xf numFmtId="0" fontId="87" fillId="7" borderId="23" xfId="0" applyFont="1" applyFill="1" applyBorder="1" applyAlignment="1">
      <alignment horizontal="center" vertical="center"/>
    </xf>
    <xf numFmtId="0" fontId="87" fillId="7" borderId="21" xfId="0" applyFont="1" applyFill="1" applyBorder="1" applyAlignment="1">
      <alignment horizontal="center" vertical="center"/>
    </xf>
    <xf numFmtId="0" fontId="9" fillId="0" borderId="4" xfId="0" applyFont="1" applyBorder="1" applyAlignment="1">
      <alignment horizontal="left" vertical="center"/>
    </xf>
    <xf numFmtId="41" fontId="59" fillId="0" borderId="5" xfId="3" applyFont="1" applyFill="1" applyBorder="1" applyAlignment="1">
      <alignment horizontal="right" vertical="center"/>
    </xf>
    <xf numFmtId="0" fontId="87" fillId="0" borderId="7" xfId="0" applyFont="1" applyBorder="1" applyAlignment="1">
      <alignment horizontal="center" vertical="center"/>
    </xf>
    <xf numFmtId="41" fontId="59" fillId="0" borderId="8" xfId="0" applyNumberFormat="1" applyFont="1" applyBorder="1" applyAlignment="1">
      <alignment horizontal="center" vertical="center"/>
    </xf>
    <xf numFmtId="41" fontId="59" fillId="0" borderId="9" xfId="0" applyNumberFormat="1" applyFont="1" applyBorder="1" applyAlignment="1">
      <alignment horizontal="center" vertical="center"/>
    </xf>
    <xf numFmtId="165" fontId="7" fillId="0" borderId="18" xfId="0" applyNumberFormat="1" applyFont="1" applyBorder="1" applyAlignment="1">
      <alignment horizontal="right" vertical="center" wrapText="1"/>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49" fontId="31" fillId="0" borderId="19" xfId="0" applyNumberFormat="1" applyFont="1" applyBorder="1" applyAlignment="1">
      <alignment vertical="center" wrapText="1"/>
    </xf>
    <xf numFmtId="165" fontId="28" fillId="0" borderId="17" xfId="2" applyNumberFormat="1" applyFont="1" applyBorder="1" applyAlignment="1">
      <alignment horizontal="right" vertical="center" wrapText="1"/>
    </xf>
    <xf numFmtId="0" fontId="28" fillId="0" borderId="19" xfId="0" applyFont="1" applyBorder="1" applyAlignment="1">
      <alignment vertical="center" wrapText="1"/>
    </xf>
    <xf numFmtId="0" fontId="28" fillId="0" borderId="0" xfId="0" applyFont="1" applyAlignment="1">
      <alignment vertical="center" wrapText="1"/>
    </xf>
    <xf numFmtId="165" fontId="28" fillId="0" borderId="0" xfId="2" applyNumberFormat="1" applyFont="1" applyBorder="1" applyAlignment="1">
      <alignment horizontal="right" vertical="center" wrapText="1"/>
    </xf>
    <xf numFmtId="165" fontId="28" fillId="0" borderId="17" xfId="2" applyNumberFormat="1" applyFont="1" applyFill="1" applyBorder="1" applyAlignment="1">
      <alignment horizontal="right" vertical="center" wrapText="1"/>
    </xf>
    <xf numFmtId="165" fontId="28" fillId="0" borderId="0" xfId="2" applyNumberFormat="1" applyFont="1" applyFill="1" applyBorder="1" applyAlignment="1">
      <alignment horizontal="right" vertical="center" wrapText="1"/>
    </xf>
    <xf numFmtId="0" fontId="87" fillId="7" borderId="12" xfId="0" applyFont="1" applyFill="1" applyBorder="1" applyAlignment="1">
      <alignment horizontal="center" vertical="center" wrapText="1"/>
    </xf>
    <xf numFmtId="0" fontId="87" fillId="7" borderId="12" xfId="0" applyFont="1" applyFill="1" applyBorder="1" applyAlignment="1">
      <alignment vertical="center" wrapText="1"/>
    </xf>
    <xf numFmtId="0" fontId="87" fillId="7" borderId="17" xfId="0" applyFont="1" applyFill="1" applyBorder="1" applyAlignment="1">
      <alignment horizontal="center" vertical="center" wrapText="1"/>
    </xf>
    <xf numFmtId="0" fontId="87" fillId="7" borderId="17" xfId="0" applyFont="1" applyFill="1" applyBorder="1" applyAlignment="1">
      <alignment vertical="center" wrapText="1"/>
    </xf>
    <xf numFmtId="3" fontId="46" fillId="0" borderId="1" xfId="0" applyNumberFormat="1" applyFont="1" applyBorder="1" applyAlignment="1">
      <alignment horizontal="right" vertical="center"/>
    </xf>
    <xf numFmtId="3" fontId="46" fillId="2" borderId="1" xfId="0" applyNumberFormat="1" applyFont="1" applyFill="1" applyBorder="1" applyAlignment="1">
      <alignment vertical="center"/>
    </xf>
    <xf numFmtId="41" fontId="45" fillId="0" borderId="1" xfId="3" applyFont="1" applyFill="1" applyBorder="1" applyAlignment="1">
      <alignment vertical="top" wrapText="1"/>
    </xf>
    <xf numFmtId="0" fontId="27" fillId="0" borderId="1" xfId="0" applyFont="1" applyBorder="1" applyAlignment="1">
      <alignment vertical="center" wrapText="1"/>
    </xf>
    <xf numFmtId="41" fontId="59" fillId="0" borderId="0" xfId="0" applyNumberFormat="1" applyFont="1" applyAlignment="1">
      <alignment horizontal="center" vertical="center"/>
    </xf>
    <xf numFmtId="0" fontId="31" fillId="0" borderId="4" xfId="0" applyFont="1" applyBorder="1" applyAlignment="1">
      <alignment vertical="center"/>
    </xf>
    <xf numFmtId="41" fontId="7" fillId="0" borderId="18" xfId="0" applyNumberFormat="1" applyFont="1" applyBorder="1" applyAlignment="1">
      <alignment horizontal="right" vertical="center" wrapText="1"/>
    </xf>
    <xf numFmtId="49" fontId="9" fillId="0" borderId="4" xfId="0" applyNumberFormat="1" applyFont="1" applyBorder="1" applyAlignment="1">
      <alignment horizontal="left" vertical="center"/>
    </xf>
    <xf numFmtId="3" fontId="17" fillId="0" borderId="0" xfId="0" applyNumberFormat="1" applyFont="1" applyAlignment="1">
      <alignment vertical="center" wrapText="1"/>
    </xf>
    <xf numFmtId="0" fontId="26" fillId="0" borderId="1" xfId="0" applyFont="1" applyBorder="1" applyAlignment="1">
      <alignment horizontal="justify" vertical="center"/>
    </xf>
    <xf numFmtId="0" fontId="31" fillId="0" borderId="1" xfId="0" applyFont="1" applyBorder="1" applyAlignment="1">
      <alignment horizontal="left" vertical="center" wrapText="1"/>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0" fillId="0" borderId="0" xfId="0" applyAlignment="1">
      <alignment horizontal="left" vertical="top" wrapText="1"/>
    </xf>
    <xf numFmtId="0" fontId="20" fillId="0" borderId="11" xfId="0" applyFont="1" applyBorder="1" applyAlignment="1">
      <alignmen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20" fillId="0" borderId="18" xfId="0" applyFont="1" applyBorder="1" applyAlignment="1">
      <alignment vertical="center" wrapText="1"/>
    </xf>
    <xf numFmtId="0" fontId="3" fillId="0" borderId="18" xfId="0" applyFont="1" applyBorder="1" applyAlignment="1">
      <alignment vertical="center" wrapText="1"/>
    </xf>
    <xf numFmtId="0" fontId="21" fillId="0" borderId="18" xfId="0" applyFont="1" applyBorder="1" applyAlignment="1">
      <alignment vertical="center" wrapText="1"/>
    </xf>
    <xf numFmtId="0" fontId="7" fillId="0" borderId="18" xfId="0" applyFont="1" applyBorder="1" applyAlignment="1">
      <alignment vertical="center" wrapText="1"/>
    </xf>
    <xf numFmtId="3" fontId="7" fillId="0" borderId="18" xfId="0" applyNumberFormat="1" applyFont="1" applyBorder="1" applyAlignment="1">
      <alignment vertical="center" wrapText="1"/>
    </xf>
    <xf numFmtId="0" fontId="22" fillId="0" borderId="18" xfId="0" applyFont="1" applyBorder="1" applyAlignment="1">
      <alignment vertical="top" wrapText="1"/>
    </xf>
    <xf numFmtId="3" fontId="37" fillId="0" borderId="18" xfId="0" applyNumberFormat="1" applyFont="1" applyBorder="1" applyAlignment="1">
      <alignment vertical="top" wrapText="1"/>
    </xf>
    <xf numFmtId="0" fontId="21" fillId="0" borderId="18" xfId="0" applyFont="1" applyBorder="1" applyAlignment="1">
      <alignment vertical="center"/>
    </xf>
    <xf numFmtId="3" fontId="51" fillId="0" borderId="1" xfId="3" applyNumberFormat="1" applyFont="1" applyFill="1" applyBorder="1" applyAlignment="1">
      <alignment horizontal="right" vertical="center"/>
    </xf>
    <xf numFmtId="3" fontId="59" fillId="0" borderId="1" xfId="0" applyNumberFormat="1" applyFont="1" applyBorder="1" applyAlignment="1">
      <alignment horizontal="right" vertical="center"/>
    </xf>
    <xf numFmtId="0" fontId="100" fillId="0" borderId="0" xfId="0" applyFont="1" applyAlignment="1">
      <alignment vertical="center"/>
    </xf>
    <xf numFmtId="0" fontId="30" fillId="0" borderId="0" xfId="0" applyFont="1" applyAlignment="1">
      <alignment vertical="center"/>
    </xf>
    <xf numFmtId="165" fontId="30" fillId="0" borderId="0" xfId="2" applyNumberFormat="1" applyFont="1" applyBorder="1" applyAlignment="1">
      <alignment horizontal="right" vertical="center"/>
    </xf>
    <xf numFmtId="0" fontId="66" fillId="0" borderId="0" xfId="0" applyFont="1" applyAlignment="1">
      <alignment vertical="center"/>
    </xf>
    <xf numFmtId="0" fontId="66" fillId="0" borderId="0" xfId="0" applyFont="1" applyAlignment="1">
      <alignment horizontal="left" vertical="center"/>
    </xf>
    <xf numFmtId="3" fontId="3" fillId="9" borderId="18" xfId="0" applyNumberFormat="1" applyFont="1" applyFill="1" applyBorder="1" applyAlignment="1">
      <alignment horizontal="right" vertical="center" wrapText="1"/>
    </xf>
    <xf numFmtId="0" fontId="20" fillId="9" borderId="18" xfId="0" applyFont="1" applyFill="1" applyBorder="1" applyAlignment="1">
      <alignment vertical="center" wrapText="1"/>
    </xf>
    <xf numFmtId="0" fontId="21" fillId="9" borderId="18" xfId="0" applyFont="1" applyFill="1" applyBorder="1" applyAlignment="1">
      <alignment vertical="center" wrapText="1"/>
    </xf>
    <xf numFmtId="0" fontId="99" fillId="9" borderId="18" xfId="0" applyFont="1" applyFill="1" applyBorder="1" applyAlignment="1">
      <alignment vertical="center" wrapText="1"/>
    </xf>
    <xf numFmtId="3" fontId="3" fillId="9" borderId="19"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justify" vertical="center" wrapText="1"/>
    </xf>
    <xf numFmtId="41" fontId="0" fillId="0" borderId="0" xfId="0" applyNumberFormat="1"/>
    <xf numFmtId="3" fontId="52" fillId="0" borderId="0" xfId="0" applyNumberFormat="1" applyFont="1" applyAlignment="1">
      <alignment horizontal="right" vertical="center"/>
    </xf>
    <xf numFmtId="0" fontId="38" fillId="0" borderId="1" xfId="0" applyFont="1" applyBorder="1" applyAlignment="1">
      <alignment vertical="center" wrapText="1"/>
    </xf>
    <xf numFmtId="0" fontId="16" fillId="0" borderId="1" xfId="0" applyFont="1" applyBorder="1" applyAlignment="1">
      <alignment vertical="center" wrapText="1"/>
    </xf>
    <xf numFmtId="0" fontId="11" fillId="0" borderId="1" xfId="0" applyFont="1" applyBorder="1" applyAlignment="1">
      <alignment vertical="center"/>
    </xf>
    <xf numFmtId="3" fontId="47" fillId="0" borderId="1" xfId="3" applyNumberFormat="1" applyFont="1" applyBorder="1" applyAlignment="1">
      <alignment horizontal="right" vertical="center"/>
    </xf>
    <xf numFmtId="0" fontId="65" fillId="0" borderId="0" xfId="0" applyFont="1" applyAlignment="1">
      <alignment horizontal="left"/>
    </xf>
    <xf numFmtId="0" fontId="0" fillId="0" borderId="0" xfId="0" applyAlignment="1">
      <alignment horizontal="left"/>
    </xf>
    <xf numFmtId="0" fontId="66" fillId="0" borderId="0" xfId="0" applyFont="1" applyAlignment="1">
      <alignment horizontal="left" wrapText="1"/>
    </xf>
    <xf numFmtId="0" fontId="66" fillId="0" borderId="0" xfId="0" applyFont="1" applyAlignment="1">
      <alignment horizontal="left"/>
    </xf>
    <xf numFmtId="1" fontId="59" fillId="0" borderId="0" xfId="0" applyNumberFormat="1" applyFont="1" applyAlignment="1">
      <alignment horizontal="center" vertical="center"/>
    </xf>
    <xf numFmtId="1" fontId="65" fillId="0" borderId="0" xfId="0" applyNumberFormat="1" applyFont="1" applyAlignment="1">
      <alignment vertical="center"/>
    </xf>
    <xf numFmtId="0" fontId="65" fillId="0" borderId="0" xfId="0" applyFont="1" applyAlignment="1">
      <alignment horizontal="left" vertical="center"/>
    </xf>
    <xf numFmtId="1" fontId="65" fillId="0" borderId="0" xfId="0" applyNumberFormat="1" applyFont="1" applyAlignment="1">
      <alignment horizontal="left" vertical="center"/>
    </xf>
    <xf numFmtId="0" fontId="41" fillId="0" borderId="0" xfId="0" applyFont="1" applyAlignment="1">
      <alignment horizontal="left" vertical="top" wrapText="1"/>
    </xf>
    <xf numFmtId="168" fontId="66" fillId="0" borderId="0" xfId="0" applyNumberFormat="1" applyFont="1" applyAlignment="1">
      <alignment horizontal="right" vertical="center"/>
    </xf>
    <xf numFmtId="0" fontId="67" fillId="0" borderId="1" xfId="0" applyFont="1" applyBorder="1" applyAlignment="1">
      <alignment horizontal="left"/>
    </xf>
    <xf numFmtId="10" fontId="67" fillId="0" borderId="1" xfId="0" applyNumberFormat="1" applyFont="1" applyBorder="1" applyAlignment="1">
      <alignment horizontal="right"/>
    </xf>
    <xf numFmtId="41" fontId="67" fillId="0" borderId="1" xfId="0" applyNumberFormat="1" applyFont="1" applyBorder="1" applyAlignment="1">
      <alignment horizontal="left"/>
    </xf>
    <xf numFmtId="0" fontId="97" fillId="5" borderId="0" xfId="0" applyFont="1" applyFill="1" applyAlignment="1">
      <alignment horizontal="left"/>
    </xf>
    <xf numFmtId="41" fontId="97" fillId="5" borderId="0" xfId="0" applyNumberFormat="1" applyFont="1" applyFill="1" applyAlignment="1">
      <alignment horizontal="left"/>
    </xf>
    <xf numFmtId="10" fontId="97" fillId="5" borderId="0" xfId="0" applyNumberFormat="1" applyFont="1" applyFill="1" applyAlignment="1">
      <alignment horizontal="right"/>
    </xf>
    <xf numFmtId="0" fontId="98" fillId="0" borderId="0" xfId="0" applyFont="1"/>
    <xf numFmtId="0" fontId="70" fillId="0" borderId="1" xfId="0" applyFont="1" applyBorder="1"/>
    <xf numFmtId="14" fontId="101" fillId="0" borderId="1" xfId="0" applyNumberFormat="1" applyFont="1" applyBorder="1"/>
    <xf numFmtId="3" fontId="0" fillId="0" borderId="1" xfId="0" applyNumberFormat="1" applyBorder="1" applyAlignment="1">
      <alignment horizontal="right"/>
    </xf>
    <xf numFmtId="0" fontId="9" fillId="0" borderId="34" xfId="0" applyFont="1" applyBorder="1" applyAlignment="1">
      <alignment horizontal="left" vertical="center"/>
    </xf>
    <xf numFmtId="41" fontId="9" fillId="0" borderId="6" xfId="3" applyFont="1" applyFill="1" applyBorder="1" applyAlignment="1">
      <alignment horizontal="center" vertical="center"/>
    </xf>
    <xf numFmtId="0" fontId="16" fillId="0" borderId="34" xfId="0" applyFont="1" applyBorder="1" applyAlignment="1">
      <alignment vertical="center" wrapText="1"/>
    </xf>
    <xf numFmtId="3" fontId="11" fillId="0" borderId="6" xfId="0" applyNumberFormat="1" applyFont="1" applyBorder="1" applyAlignment="1">
      <alignment vertical="center" wrapText="1"/>
    </xf>
    <xf numFmtId="3" fontId="11" fillId="0" borderId="6" xfId="3" applyNumberFormat="1" applyFont="1" applyBorder="1" applyAlignment="1">
      <alignment vertical="center" wrapText="1"/>
    </xf>
    <xf numFmtId="3" fontId="11" fillId="0" borderId="8" xfId="3" applyNumberFormat="1" applyFont="1" applyBorder="1" applyAlignment="1">
      <alignment vertical="center" wrapText="1"/>
    </xf>
    <xf numFmtId="0" fontId="55" fillId="0" borderId="6" xfId="0" applyFont="1" applyBorder="1" applyAlignment="1">
      <alignment horizontal="center" vertical="center"/>
    </xf>
    <xf numFmtId="0" fontId="102" fillId="0" borderId="0" xfId="0" applyFont="1" applyAlignment="1">
      <alignment horizontal="center"/>
    </xf>
    <xf numFmtId="0" fontId="102" fillId="0" borderId="6" xfId="0" applyFont="1" applyBorder="1" applyAlignment="1">
      <alignment horizontal="center"/>
    </xf>
    <xf numFmtId="41" fontId="102" fillId="0" borderId="0" xfId="8" applyFont="1" applyBorder="1" applyAlignment="1">
      <alignment vertical="center"/>
    </xf>
    <xf numFmtId="3" fontId="102" fillId="0" borderId="0" xfId="0" applyNumberFormat="1" applyFont="1" applyAlignment="1">
      <alignment horizontal="center"/>
    </xf>
    <xf numFmtId="41" fontId="102" fillId="0" borderId="24" xfId="8" applyFont="1" applyFill="1" applyBorder="1" applyAlignment="1">
      <alignment horizontal="center"/>
    </xf>
    <xf numFmtId="0" fontId="55" fillId="0" borderId="2" xfId="0" applyFont="1" applyBorder="1" applyAlignment="1">
      <alignment horizontal="center" vertical="center"/>
    </xf>
    <xf numFmtId="0" fontId="102" fillId="0" borderId="2" xfId="0" applyFont="1" applyBorder="1" applyAlignment="1">
      <alignment horizontal="center"/>
    </xf>
    <xf numFmtId="41" fontId="102" fillId="0" borderId="16" xfId="8" applyFont="1" applyFill="1" applyBorder="1" applyAlignment="1">
      <alignment horizontal="center"/>
    </xf>
    <xf numFmtId="10" fontId="78" fillId="0" borderId="2" xfId="7" applyNumberFormat="1" applyFont="1" applyBorder="1" applyAlignment="1">
      <alignment horizontal="center"/>
    </xf>
    <xf numFmtId="0" fontId="103" fillId="7" borderId="1" xfId="0" applyFont="1" applyFill="1" applyBorder="1" applyAlignment="1">
      <alignment horizontal="center" vertical="center" wrapText="1"/>
    </xf>
    <xf numFmtId="0" fontId="103" fillId="7" borderId="6" xfId="0" applyFont="1" applyFill="1" applyBorder="1" applyAlignment="1">
      <alignment horizontal="center" vertical="center" wrapText="1"/>
    </xf>
    <xf numFmtId="0" fontId="102" fillId="0" borderId="28" xfId="0" applyFont="1" applyBorder="1" applyAlignment="1">
      <alignment horizontal="center"/>
    </xf>
    <xf numFmtId="41" fontId="102" fillId="0" borderId="28" xfId="8" applyFont="1" applyBorder="1" applyAlignment="1">
      <alignment vertical="center"/>
    </xf>
    <xf numFmtId="3" fontId="102" fillId="0" borderId="28" xfId="0" applyNumberFormat="1" applyFont="1" applyBorder="1" applyAlignment="1">
      <alignment horizontal="center"/>
    </xf>
    <xf numFmtId="0" fontId="55" fillId="0" borderId="27" xfId="0" applyFont="1" applyBorder="1" applyAlignment="1">
      <alignment horizontal="center" vertical="center"/>
    </xf>
    <xf numFmtId="0" fontId="102" fillId="0" borderId="20" xfId="0" applyFont="1" applyBorder="1" applyAlignment="1">
      <alignment horizontal="center"/>
    </xf>
    <xf numFmtId="0" fontId="102" fillId="0" borderId="27" xfId="0" applyFont="1" applyBorder="1" applyAlignment="1">
      <alignment horizontal="center"/>
    </xf>
    <xf numFmtId="41" fontId="102" fillId="0" borderId="20" xfId="8" applyFont="1" applyBorder="1" applyAlignment="1">
      <alignment vertical="center"/>
    </xf>
    <xf numFmtId="3" fontId="102" fillId="0" borderId="20" xfId="0" applyNumberFormat="1" applyFont="1" applyBorder="1" applyAlignment="1">
      <alignment horizontal="center"/>
    </xf>
    <xf numFmtId="41" fontId="102" fillId="0" borderId="31" xfId="8" applyFont="1" applyFill="1" applyBorder="1" applyAlignment="1">
      <alignment horizontal="center"/>
    </xf>
    <xf numFmtId="10" fontId="78" fillId="0" borderId="27" xfId="7" applyNumberFormat="1" applyFont="1" applyBorder="1" applyAlignment="1">
      <alignment horizontal="center"/>
    </xf>
    <xf numFmtId="1" fontId="102" fillId="0" borderId="6" xfId="0" applyNumberFormat="1" applyFont="1" applyBorder="1" applyAlignment="1">
      <alignment horizontal="center"/>
    </xf>
    <xf numFmtId="1" fontId="102" fillId="0" borderId="2" xfId="0" applyNumberFormat="1" applyFont="1" applyBorder="1" applyAlignment="1">
      <alignment horizontal="center"/>
    </xf>
    <xf numFmtId="1" fontId="102" fillId="0" borderId="27" xfId="0" applyNumberFormat="1" applyFont="1" applyBorder="1" applyAlignment="1">
      <alignment horizontal="center"/>
    </xf>
    <xf numFmtId="170" fontId="55" fillId="0" borderId="6" xfId="9" applyNumberFormat="1" applyFont="1" applyFill="1" applyBorder="1" applyAlignment="1">
      <alignment horizontal="center" vertical="center"/>
    </xf>
    <xf numFmtId="170" fontId="55" fillId="0" borderId="2" xfId="9" applyNumberFormat="1" applyFont="1" applyFill="1" applyBorder="1" applyAlignment="1">
      <alignment horizontal="center" vertical="center"/>
    </xf>
    <xf numFmtId="0" fontId="55" fillId="0" borderId="2" xfId="0" applyFont="1" applyBorder="1" applyAlignment="1">
      <alignment horizontal="center"/>
    </xf>
    <xf numFmtId="170" fontId="55" fillId="0" borderId="27" xfId="9" applyNumberFormat="1" applyFont="1" applyFill="1" applyBorder="1" applyAlignment="1">
      <alignment horizontal="center" vertical="center"/>
    </xf>
    <xf numFmtId="0" fontId="102" fillId="0" borderId="13" xfId="0" applyFont="1" applyBorder="1" applyAlignment="1">
      <alignment horizontal="center"/>
    </xf>
    <xf numFmtId="0" fontId="55" fillId="0" borderId="1" xfId="0" applyFont="1" applyBorder="1" applyAlignment="1">
      <alignment horizontal="center" vertical="center"/>
    </xf>
    <xf numFmtId="0" fontId="102" fillId="0" borderId="15" xfId="0" applyFont="1" applyBorder="1" applyAlignment="1">
      <alignment horizontal="center"/>
    </xf>
    <xf numFmtId="0" fontId="102" fillId="0" borderId="1" xfId="0" applyFont="1" applyBorder="1" applyAlignment="1">
      <alignment horizontal="center"/>
    </xf>
    <xf numFmtId="41" fontId="102" fillId="0" borderId="15" xfId="8" applyFont="1" applyBorder="1" applyAlignment="1">
      <alignment vertical="center"/>
    </xf>
    <xf numFmtId="3" fontId="102" fillId="0" borderId="15" xfId="0" applyNumberFormat="1" applyFont="1" applyBorder="1" applyAlignment="1">
      <alignment horizontal="center"/>
    </xf>
    <xf numFmtId="41" fontId="102" fillId="0" borderId="13" xfId="8" applyFont="1" applyFill="1" applyBorder="1" applyAlignment="1">
      <alignment horizontal="center"/>
    </xf>
    <xf numFmtId="0" fontId="15" fillId="0" borderId="1" xfId="0" applyFont="1" applyBorder="1" applyAlignment="1">
      <alignment horizontal="center"/>
    </xf>
    <xf numFmtId="41" fontId="102" fillId="0" borderId="1" xfId="8" applyFont="1" applyBorder="1" applyAlignment="1">
      <alignment vertical="center"/>
    </xf>
    <xf numFmtId="0" fontId="0" fillId="0" borderId="1" xfId="0" applyBorder="1" applyAlignment="1">
      <alignment horizontal="center"/>
    </xf>
    <xf numFmtId="3" fontId="102" fillId="0" borderId="1" xfId="0" applyNumberFormat="1" applyFont="1" applyBorder="1" applyAlignment="1">
      <alignment horizontal="center"/>
    </xf>
    <xf numFmtId="41" fontId="102" fillId="0" borderId="1" xfId="8" applyFont="1" applyFill="1" applyBorder="1" applyAlignment="1">
      <alignment horizontal="center"/>
    </xf>
    <xf numFmtId="41" fontId="97" fillId="5" borderId="1" xfId="8" applyFont="1" applyFill="1" applyBorder="1" applyAlignment="1">
      <alignment horizontal="left"/>
    </xf>
    <xf numFmtId="41" fontId="97" fillId="5" borderId="1" xfId="0" applyNumberFormat="1" applyFont="1" applyFill="1" applyBorder="1" applyAlignment="1">
      <alignment horizontal="left"/>
    </xf>
    <xf numFmtId="10" fontId="97" fillId="0" borderId="0" xfId="0" applyNumberFormat="1" applyFont="1" applyAlignment="1">
      <alignment horizontal="right"/>
    </xf>
    <xf numFmtId="9" fontId="97" fillId="5" borderId="1" xfId="7" applyFont="1" applyFill="1" applyBorder="1" applyAlignment="1">
      <alignment horizontal="center"/>
    </xf>
    <xf numFmtId="0" fontId="104" fillId="7" borderId="1" xfId="0" applyFont="1" applyFill="1" applyBorder="1" applyAlignment="1">
      <alignment horizontal="center"/>
    </xf>
    <xf numFmtId="41" fontId="67" fillId="0" borderId="1" xfId="8" applyFont="1" applyFill="1" applyBorder="1" applyAlignment="1">
      <alignment horizontal="right"/>
    </xf>
    <xf numFmtId="10" fontId="67" fillId="0" borderId="1" xfId="7" applyNumberFormat="1" applyFont="1" applyFill="1" applyBorder="1" applyAlignment="1">
      <alignment horizontal="right"/>
    </xf>
    <xf numFmtId="0" fontId="105" fillId="0" borderId="0" xfId="0" applyFont="1" applyAlignment="1">
      <alignment horizontal="center"/>
    </xf>
    <xf numFmtId="0" fontId="105" fillId="0" borderId="0" xfId="0" applyFont="1" applyAlignment="1">
      <alignment horizontal="center" vertical="top" wrapText="1"/>
    </xf>
    <xf numFmtId="0" fontId="106" fillId="7" borderId="1" xfId="0" applyFont="1" applyFill="1" applyBorder="1" applyAlignment="1">
      <alignment horizontal="center" vertical="center" wrapText="1"/>
    </xf>
    <xf numFmtId="0" fontId="0" fillId="9" borderId="39" xfId="0" applyFill="1" applyBorder="1" applyAlignment="1">
      <alignment vertical="center"/>
    </xf>
    <xf numFmtId="0" fontId="0" fillId="9" borderId="15" xfId="0" applyFill="1" applyBorder="1" applyAlignment="1">
      <alignment vertical="center"/>
    </xf>
    <xf numFmtId="0" fontId="105" fillId="0" borderId="1" xfId="0" applyFont="1" applyBorder="1" applyAlignment="1">
      <alignment horizontal="center"/>
    </xf>
    <xf numFmtId="3" fontId="11" fillId="0" borderId="1" xfId="0" applyNumberFormat="1" applyFont="1" applyBorder="1" applyAlignment="1">
      <alignment horizontal="right" vertical="center"/>
    </xf>
    <xf numFmtId="0" fontId="82" fillId="6" borderId="24" xfId="0" applyFont="1" applyFill="1" applyBorder="1" applyAlignment="1">
      <alignment horizontal="center" vertical="center" wrapText="1"/>
    </xf>
    <xf numFmtId="0" fontId="63" fillId="6" borderId="28" xfId="0" applyFont="1" applyFill="1" applyBorder="1" applyAlignment="1">
      <alignment horizontal="center" vertical="center"/>
    </xf>
    <xf numFmtId="0" fontId="63" fillId="6" borderId="29"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0" xfId="0" applyFont="1" applyFill="1" applyAlignment="1">
      <alignment horizontal="center" vertical="center"/>
    </xf>
    <xf numFmtId="0" fontId="63" fillId="6" borderId="30" xfId="0" applyFont="1" applyFill="1" applyBorder="1" applyAlignment="1">
      <alignment horizontal="center" vertical="center"/>
    </xf>
    <xf numFmtId="0" fontId="63" fillId="6" borderId="31" xfId="0" applyFont="1" applyFill="1" applyBorder="1" applyAlignment="1">
      <alignment horizontal="center" vertical="center"/>
    </xf>
    <xf numFmtId="0" fontId="63" fillId="6" borderId="20" xfId="0" applyFont="1" applyFill="1" applyBorder="1" applyAlignment="1">
      <alignment horizontal="center" vertical="center"/>
    </xf>
    <xf numFmtId="0" fontId="63" fillId="6" borderId="32" xfId="0" applyFont="1" applyFill="1" applyBorder="1" applyAlignment="1">
      <alignment horizontal="center" vertical="center"/>
    </xf>
    <xf numFmtId="0" fontId="66" fillId="0" borderId="0" xfId="0" applyFont="1" applyAlignment="1">
      <alignment horizontal="left"/>
    </xf>
    <xf numFmtId="0" fontId="75" fillId="0" borderId="0" xfId="0" applyFont="1" applyAlignment="1">
      <alignment horizontal="left"/>
    </xf>
    <xf numFmtId="0" fontId="40" fillId="0" borderId="0" xfId="0" applyFont="1" applyAlignment="1">
      <alignment horizontal="center" vertical="top" wrapText="1"/>
    </xf>
    <xf numFmtId="0" fontId="79" fillId="0" borderId="0" xfId="0" applyFont="1" applyAlignment="1">
      <alignment horizontal="left" vertical="center"/>
    </xf>
    <xf numFmtId="0" fontId="21" fillId="9" borderId="0" xfId="0" applyFont="1" applyFill="1" applyAlignment="1">
      <alignment horizontal="left" vertical="top" wrapText="1"/>
    </xf>
    <xf numFmtId="0" fontId="66" fillId="0" borderId="0" xfId="0" applyFont="1" applyAlignment="1">
      <alignment horizontal="left" wrapText="1"/>
    </xf>
    <xf numFmtId="0" fontId="66" fillId="0" borderId="0" xfId="0" applyFont="1" applyAlignment="1">
      <alignment horizontal="left" vertical="center" wrapText="1"/>
    </xf>
    <xf numFmtId="0" fontId="65" fillId="0" borderId="0" xfId="0" applyFont="1" applyAlignment="1">
      <alignment horizontal="left"/>
    </xf>
    <xf numFmtId="0" fontId="0" fillId="0" borderId="0" xfId="0" applyAlignment="1">
      <alignment horizontal="left"/>
    </xf>
    <xf numFmtId="0" fontId="66" fillId="0" borderId="13" xfId="0" applyFont="1" applyBorder="1" applyAlignment="1">
      <alignment horizontal="left"/>
    </xf>
    <xf numFmtId="0" fontId="66" fillId="0" borderId="14" xfId="0" applyFont="1" applyBorder="1" applyAlignment="1">
      <alignment horizontal="left"/>
    </xf>
    <xf numFmtId="0" fontId="0" fillId="0" borderId="14" xfId="0" applyBorder="1" applyAlignment="1">
      <alignment horizontal="left"/>
    </xf>
    <xf numFmtId="0" fontId="97" fillId="5" borderId="13" xfId="0" applyFont="1" applyFill="1" applyBorder="1" applyAlignment="1">
      <alignment horizontal="center"/>
    </xf>
    <xf numFmtId="0" fontId="97" fillId="5" borderId="15" xfId="0" applyFont="1" applyFill="1" applyBorder="1" applyAlignment="1">
      <alignment horizontal="center"/>
    </xf>
    <xf numFmtId="0" fontId="97" fillId="5" borderId="14" xfId="0" applyFont="1" applyFill="1" applyBorder="1" applyAlignment="1">
      <alignment horizontal="center"/>
    </xf>
    <xf numFmtId="0" fontId="94" fillId="7" borderId="16" xfId="0" applyFont="1" applyFill="1" applyBorder="1" applyAlignment="1">
      <alignment horizontal="center"/>
    </xf>
    <xf numFmtId="0" fontId="94" fillId="7" borderId="0" xfId="0" applyFont="1" applyFill="1" applyAlignment="1">
      <alignment horizontal="center"/>
    </xf>
    <xf numFmtId="0" fontId="65" fillId="0" borderId="0" xfId="0" applyFont="1" applyAlignment="1">
      <alignment horizontal="center"/>
    </xf>
    <xf numFmtId="0" fontId="20" fillId="9" borderId="0" xfId="0" applyFont="1" applyFill="1" applyAlignment="1">
      <alignment horizontal="left" vertical="top" wrapText="1"/>
    </xf>
    <xf numFmtId="0" fontId="57" fillId="0" borderId="0" xfId="0" applyFont="1" applyAlignment="1">
      <alignment horizontal="left" vertical="center" wrapText="1"/>
    </xf>
    <xf numFmtId="0" fontId="78" fillId="0" borderId="1" xfId="0" applyFont="1" applyBorder="1" applyAlignment="1">
      <alignment horizontal="center"/>
    </xf>
    <xf numFmtId="0" fontId="102" fillId="0" borderId="35" xfId="0" applyFont="1" applyBorder="1" applyAlignment="1">
      <alignment horizontal="center" vertical="top"/>
    </xf>
    <xf numFmtId="0" fontId="78" fillId="0" borderId="6" xfId="0" applyFont="1" applyBorder="1" applyAlignment="1">
      <alignment horizontal="center"/>
    </xf>
    <xf numFmtId="0" fontId="78" fillId="0" borderId="2" xfId="0" applyFont="1" applyBorder="1" applyAlignment="1">
      <alignment horizontal="center"/>
    </xf>
    <xf numFmtId="0" fontId="78" fillId="0" borderId="27" xfId="0" applyFont="1" applyBorder="1" applyAlignment="1">
      <alignment horizontal="center"/>
    </xf>
    <xf numFmtId="0" fontId="102" fillId="0" borderId="6" xfId="0" applyFont="1" applyBorder="1" applyAlignment="1">
      <alignment horizontal="center" vertical="top"/>
    </xf>
    <xf numFmtId="0" fontId="102" fillId="0" borderId="2" xfId="0" applyFont="1" applyBorder="1" applyAlignment="1">
      <alignment horizontal="center" vertical="top"/>
    </xf>
    <xf numFmtId="0" fontId="102" fillId="0" borderId="27" xfId="0" applyFont="1" applyBorder="1" applyAlignment="1">
      <alignment horizontal="center" vertical="top"/>
    </xf>
    <xf numFmtId="0" fontId="78" fillId="0" borderId="29" xfId="0" applyFont="1" applyBorder="1" applyAlignment="1">
      <alignment horizontal="center"/>
    </xf>
    <xf numFmtId="0" fontId="78" fillId="0" borderId="30" xfId="0" applyFont="1" applyBorder="1" applyAlignment="1">
      <alignment horizontal="center"/>
    </xf>
    <xf numFmtId="0" fontId="102" fillId="0" borderId="24" xfId="0" applyFont="1" applyBorder="1" applyAlignment="1">
      <alignment horizontal="center" vertical="top"/>
    </xf>
    <xf numFmtId="0" fontId="102" fillId="0" borderId="16" xfId="0" applyFont="1" applyBorder="1" applyAlignment="1">
      <alignment horizontal="center" vertical="top"/>
    </xf>
    <xf numFmtId="0" fontId="102" fillId="0" borderId="31" xfId="0" applyFont="1" applyBorder="1" applyAlignment="1">
      <alignment horizontal="center" vertical="top"/>
    </xf>
    <xf numFmtId="0" fontId="78" fillId="0" borderId="36" xfId="0" applyFont="1" applyBorder="1" applyAlignment="1">
      <alignment horizontal="center"/>
    </xf>
    <xf numFmtId="0" fontId="78" fillId="0" borderId="37" xfId="0" applyFont="1" applyBorder="1" applyAlignment="1">
      <alignment horizontal="center"/>
    </xf>
    <xf numFmtId="0" fontId="78" fillId="0" borderId="38" xfId="0" applyFont="1" applyBorder="1" applyAlignment="1">
      <alignment horizontal="center"/>
    </xf>
    <xf numFmtId="0" fontId="105" fillId="0" borderId="30" xfId="0" applyFont="1" applyBorder="1" applyAlignment="1">
      <alignment horizontal="center"/>
    </xf>
    <xf numFmtId="0" fontId="68" fillId="5" borderId="0" xfId="0" applyFont="1" applyFill="1" applyAlignment="1">
      <alignment horizontal="left" vertical="center"/>
    </xf>
    <xf numFmtId="0" fontId="93" fillId="7" borderId="25" xfId="0" applyFont="1" applyFill="1" applyBorder="1" applyAlignment="1">
      <alignment horizontal="center" vertical="center" wrapText="1"/>
    </xf>
    <xf numFmtId="0" fontId="93" fillId="7" borderId="26" xfId="0" applyFont="1" applyFill="1" applyBorder="1" applyAlignment="1">
      <alignment horizontal="center" vertical="center" wrapText="1"/>
    </xf>
    <xf numFmtId="0" fontId="58" fillId="0" borderId="0" xfId="0" applyFont="1" applyAlignment="1">
      <alignment horizontal="center" vertical="center" wrapText="1"/>
    </xf>
    <xf numFmtId="3" fontId="93" fillId="7" borderId="25" xfId="0" applyNumberFormat="1"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0" fontId="95" fillId="7" borderId="23" xfId="0" applyFont="1" applyFill="1" applyBorder="1" applyAlignment="1">
      <alignment vertical="center" wrapText="1"/>
    </xf>
    <xf numFmtId="0" fontId="95" fillId="7" borderId="1" xfId="0" applyFont="1" applyFill="1" applyBorder="1" applyAlignment="1">
      <alignment vertical="center" wrapText="1"/>
    </xf>
    <xf numFmtId="0" fontId="92" fillId="7" borderId="23"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1" xfId="0" applyFont="1" applyBorder="1" applyAlignment="1">
      <alignment vertical="center" wrapText="1"/>
    </xf>
    <xf numFmtId="0" fontId="20" fillId="0" borderId="19" xfId="0" applyFont="1" applyBorder="1" applyAlignment="1">
      <alignment vertical="center" wrapText="1"/>
    </xf>
    <xf numFmtId="3" fontId="3" fillId="0" borderId="11"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3" fontId="3" fillId="9" borderId="11"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0" fontId="95" fillId="7" borderId="22" xfId="0" applyFont="1" applyFill="1" applyBorder="1" applyAlignment="1">
      <alignment vertical="center" wrapText="1"/>
    </xf>
    <xf numFmtId="0" fontId="95" fillId="7" borderId="4" xfId="0" applyFont="1" applyFill="1" applyBorder="1" applyAlignment="1">
      <alignment vertical="center" wrapText="1"/>
    </xf>
    <xf numFmtId="3" fontId="92" fillId="7" borderId="23"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68" fillId="0" borderId="0" xfId="0" applyFont="1" applyAlignment="1">
      <alignment horizontal="left" vertical="center"/>
    </xf>
    <xf numFmtId="0" fontId="71" fillId="0" borderId="0" xfId="0" applyFont="1" applyAlignment="1">
      <alignment horizontal="left" vertical="center"/>
    </xf>
    <xf numFmtId="0" fontId="90" fillId="7" borderId="1" xfId="0" applyFont="1" applyFill="1" applyBorder="1" applyAlignment="1">
      <alignment horizontal="center" vertical="center" wrapText="1"/>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6"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7" xfId="0" applyFont="1" applyFill="1" applyBorder="1" applyAlignment="1">
      <alignment horizontal="center" vertical="center" wrapText="1"/>
    </xf>
    <xf numFmtId="0" fontId="70" fillId="0" borderId="0" xfId="0" applyFont="1" applyAlignment="1">
      <alignment horizontal="left" vertical="center"/>
    </xf>
    <xf numFmtId="0" fontId="85" fillId="7" borderId="1" xfId="0" applyFont="1" applyFill="1" applyBorder="1" applyAlignment="1">
      <alignment horizontal="center" vertical="center"/>
    </xf>
    <xf numFmtId="0" fontId="85" fillId="7" borderId="1" xfId="0" applyFont="1" applyFill="1" applyBorder="1" applyAlignment="1">
      <alignment horizontal="center" vertical="center" wrapText="1"/>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68" fillId="0" borderId="0" xfId="0" applyFont="1" applyAlignment="1">
      <alignment horizontal="left" vertical="center" wrapText="1"/>
    </xf>
    <xf numFmtId="0" fontId="87" fillId="7" borderId="1" xfId="0" applyFont="1" applyFill="1" applyBorder="1" applyAlignment="1">
      <alignment horizontal="center" vertical="center"/>
    </xf>
    <xf numFmtId="0" fontId="87" fillId="8" borderId="6" xfId="0" applyFont="1" applyFill="1" applyBorder="1" applyAlignment="1">
      <alignment horizontal="center" vertical="center" wrapText="1"/>
    </xf>
    <xf numFmtId="0" fontId="87" fillId="8" borderId="27" xfId="0" applyFont="1" applyFill="1" applyBorder="1" applyAlignment="1">
      <alignment horizontal="center" vertical="center" wrapText="1"/>
    </xf>
    <xf numFmtId="0" fontId="89" fillId="7" borderId="33" xfId="0" applyFont="1" applyFill="1" applyBorder="1" applyAlignment="1">
      <alignment horizontal="center" vertical="center"/>
    </xf>
    <xf numFmtId="0" fontId="68" fillId="0" borderId="0" xfId="0" applyFont="1" applyAlignment="1">
      <alignment horizontal="left" wrapText="1"/>
    </xf>
    <xf numFmtId="0" fontId="87" fillId="7" borderId="11" xfId="0" applyFont="1" applyFill="1" applyBorder="1" applyAlignment="1">
      <alignment horizontal="center" vertical="center" wrapText="1"/>
    </xf>
    <xf numFmtId="0" fontId="87" fillId="7" borderId="19" xfId="0" applyFont="1" applyFill="1" applyBorder="1" applyAlignment="1">
      <alignment horizontal="center" vertical="center" wrapText="1"/>
    </xf>
    <xf numFmtId="0" fontId="73" fillId="0" borderId="0" xfId="0" applyFont="1" applyAlignment="1">
      <alignment horizontal="justify"/>
    </xf>
    <xf numFmtId="0" fontId="83" fillId="7" borderId="16" xfId="0" applyFont="1" applyFill="1" applyBorder="1" applyAlignment="1">
      <alignment horizontal="center" wrapText="1"/>
    </xf>
    <xf numFmtId="0" fontId="83" fillId="7" borderId="0" xfId="0" applyFont="1" applyFill="1" applyAlignment="1">
      <alignment horizontal="center" wrapText="1"/>
    </xf>
  </cellXfs>
  <cellStyles count="10">
    <cellStyle name="Énfasis6" xfId="9" builtinId="49"/>
    <cellStyle name="Excel Built-in Normal" xfId="1" xr:uid="{00000000-0005-0000-0000-000002000000}"/>
    <cellStyle name="Millares" xfId="2" builtinId="3"/>
    <cellStyle name="Millares [0]" xfId="3" builtinId="6"/>
    <cellStyle name="Millares [0] 2" xfId="8" xr:uid="{00000000-0005-0000-0000-000003000000}"/>
    <cellStyle name="Millares 2" xfId="4" xr:uid="{00000000-0005-0000-0000-000004000000}"/>
    <cellStyle name="Millares 3" xfId="5" xr:uid="{00000000-0005-0000-0000-000005000000}"/>
    <cellStyle name="Normal" xfId="0" builtinId="0"/>
    <cellStyle name="Normal 2" xfId="6" xr:uid="{00000000-0005-0000-0000-000007000000}"/>
    <cellStyle name="Porcentaje" xfId="7"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7"/>
  <sheetViews>
    <sheetView showGridLines="0" zoomScale="95" zoomScaleNormal="95" workbookViewId="0">
      <selection activeCell="A2" sqref="A2"/>
    </sheetView>
  </sheetViews>
  <sheetFormatPr baseColWidth="10" defaultColWidth="10.7109375" defaultRowHeight="1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65" customHeight="1">
      <c r="C4" s="384" t="s">
        <v>430</v>
      </c>
      <c r="D4" s="385"/>
      <c r="E4" s="385"/>
      <c r="F4" s="385"/>
      <c r="G4" s="386"/>
    </row>
    <row r="5" spans="3:7">
      <c r="C5" s="387"/>
      <c r="D5" s="388"/>
      <c r="E5" s="388"/>
      <c r="F5" s="388"/>
      <c r="G5" s="389"/>
    </row>
    <row r="6" spans="3:7">
      <c r="C6" s="387"/>
      <c r="D6" s="388"/>
      <c r="E6" s="388"/>
      <c r="F6" s="388"/>
      <c r="G6" s="389"/>
    </row>
    <row r="7" spans="3:7">
      <c r="C7" s="387"/>
      <c r="D7" s="388"/>
      <c r="E7" s="388"/>
      <c r="F7" s="388"/>
      <c r="G7" s="389"/>
    </row>
    <row r="8" spans="3:7">
      <c r="C8" s="387"/>
      <c r="D8" s="388"/>
      <c r="E8" s="388"/>
      <c r="F8" s="388"/>
      <c r="G8" s="389"/>
    </row>
    <row r="9" spans="3:7">
      <c r="C9" s="387"/>
      <c r="D9" s="388"/>
      <c r="E9" s="388"/>
      <c r="F9" s="388"/>
      <c r="G9" s="389"/>
    </row>
    <row r="10" spans="3:7">
      <c r="C10" s="387"/>
      <c r="D10" s="388"/>
      <c r="E10" s="388"/>
      <c r="F10" s="388"/>
      <c r="G10" s="389"/>
    </row>
    <row r="11" spans="3:7">
      <c r="C11" s="387"/>
      <c r="D11" s="388"/>
      <c r="E11" s="388"/>
      <c r="F11" s="388"/>
      <c r="G11" s="389"/>
    </row>
    <row r="12" spans="3:7">
      <c r="C12" s="387"/>
      <c r="D12" s="388"/>
      <c r="E12" s="388"/>
      <c r="F12" s="388"/>
      <c r="G12" s="389"/>
    </row>
    <row r="13" spans="3:7">
      <c r="C13" s="387"/>
      <c r="D13" s="388"/>
      <c r="E13" s="388"/>
      <c r="F13" s="388"/>
      <c r="G13" s="389"/>
    </row>
    <row r="14" spans="3:7">
      <c r="C14" s="387"/>
      <c r="D14" s="388"/>
      <c r="E14" s="388"/>
      <c r="F14" s="388"/>
      <c r="G14" s="389"/>
    </row>
    <row r="15" spans="3:7">
      <c r="C15" s="387"/>
      <c r="D15" s="388"/>
      <c r="E15" s="388"/>
      <c r="F15" s="388"/>
      <c r="G15" s="389"/>
    </row>
    <row r="16" spans="3:7">
      <c r="C16" s="387"/>
      <c r="D16" s="388"/>
      <c r="E16" s="388"/>
      <c r="F16" s="388"/>
      <c r="G16" s="389"/>
    </row>
    <row r="17" spans="3:7">
      <c r="C17" s="387"/>
      <c r="D17" s="388"/>
      <c r="E17" s="388"/>
      <c r="F17" s="388"/>
      <c r="G17" s="389"/>
    </row>
    <row r="18" spans="3:7" ht="1.9" customHeight="1">
      <c r="C18" s="387"/>
      <c r="D18" s="388"/>
      <c r="E18" s="388"/>
      <c r="F18" s="388"/>
      <c r="G18" s="389"/>
    </row>
    <row r="19" spans="3:7">
      <c r="C19" s="387"/>
      <c r="D19" s="388"/>
      <c r="E19" s="388"/>
      <c r="F19" s="388"/>
      <c r="G19" s="389"/>
    </row>
    <row r="20" spans="3:7">
      <c r="C20" s="387"/>
      <c r="D20" s="388"/>
      <c r="E20" s="388"/>
      <c r="F20" s="388"/>
      <c r="G20" s="389"/>
    </row>
    <row r="21" spans="3:7">
      <c r="C21" s="387"/>
      <c r="D21" s="388"/>
      <c r="E21" s="388"/>
      <c r="F21" s="388"/>
      <c r="G21" s="389"/>
    </row>
    <row r="22" spans="3:7" ht="9.6" customHeight="1">
      <c r="C22" s="387"/>
      <c r="D22" s="388"/>
      <c r="E22" s="388"/>
      <c r="F22" s="388"/>
      <c r="G22" s="389"/>
    </row>
    <row r="23" spans="3:7" hidden="1">
      <c r="C23" s="387"/>
      <c r="D23" s="388"/>
      <c r="E23" s="388"/>
      <c r="F23" s="388"/>
      <c r="G23" s="389"/>
    </row>
    <row r="24" spans="3:7" hidden="1">
      <c r="C24" s="387"/>
      <c r="D24" s="388"/>
      <c r="E24" s="388"/>
      <c r="F24" s="388"/>
      <c r="G24" s="389"/>
    </row>
    <row r="25" spans="3:7" hidden="1">
      <c r="C25" s="387"/>
      <c r="D25" s="388"/>
      <c r="E25" s="388"/>
      <c r="F25" s="388"/>
      <c r="G25" s="389"/>
    </row>
    <row r="26" spans="3:7" ht="90" customHeight="1">
      <c r="C26" s="390"/>
      <c r="D26" s="391"/>
      <c r="E26" s="391"/>
      <c r="F26" s="391"/>
      <c r="G26" s="392"/>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B4:G103"/>
  <sheetViews>
    <sheetView showGridLines="0" topLeftCell="A73" zoomScaleNormal="100" workbookViewId="0">
      <selection activeCell="D100" sqref="D100"/>
    </sheetView>
  </sheetViews>
  <sheetFormatPr baseColWidth="10" defaultColWidth="10.7109375" defaultRowHeight="15"/>
  <cols>
    <col min="1" max="1" width="4.7109375" customWidth="1"/>
    <col min="2" max="2" width="48.7109375" bestFit="1" customWidth="1"/>
    <col min="3" max="3" width="20.5703125" customWidth="1"/>
    <col min="4" max="4" width="19.28515625" bestFit="1" customWidth="1"/>
    <col min="5" max="5" width="18.28515625" customWidth="1"/>
    <col min="7" max="7" width="16.7109375" customWidth="1"/>
  </cols>
  <sheetData>
    <row r="4" spans="2:7">
      <c r="B4" s="163" t="s">
        <v>227</v>
      </c>
    </row>
    <row r="5" spans="2:7" ht="8.65" customHeight="1"/>
    <row r="6" spans="2:7">
      <c r="B6" s="480" t="s">
        <v>171</v>
      </c>
      <c r="C6" s="192" t="s">
        <v>228</v>
      </c>
      <c r="D6" s="192"/>
      <c r="E6" s="192"/>
      <c r="F6" s="192" t="s">
        <v>228</v>
      </c>
    </row>
    <row r="7" spans="2:7">
      <c r="B7" s="481"/>
      <c r="C7" s="192" t="s">
        <v>229</v>
      </c>
      <c r="D7" s="192" t="s">
        <v>230</v>
      </c>
      <c r="E7" s="192" t="s">
        <v>231</v>
      </c>
      <c r="F7" s="192" t="s">
        <v>232</v>
      </c>
    </row>
    <row r="8" spans="2:7">
      <c r="B8" s="51" t="s">
        <v>39</v>
      </c>
      <c r="C8" s="52">
        <v>90439519</v>
      </c>
      <c r="D8" s="52">
        <v>59159298</v>
      </c>
      <c r="E8" s="52">
        <v>-2091038</v>
      </c>
      <c r="F8" s="52">
        <f t="shared" ref="F8:F9" si="0">SUM(C8:E8)</f>
        <v>147507779</v>
      </c>
      <c r="G8" s="13"/>
    </row>
    <row r="9" spans="2:7">
      <c r="B9" s="54" t="s">
        <v>233</v>
      </c>
      <c r="C9" s="55">
        <f>SUM(C8)</f>
        <v>90439519</v>
      </c>
      <c r="D9" s="55">
        <f t="shared" ref="D9:E9" si="1">SUM(D8)</f>
        <v>59159298</v>
      </c>
      <c r="E9" s="55">
        <f t="shared" si="1"/>
        <v>-2091038</v>
      </c>
      <c r="F9" s="55">
        <f t="shared" si="0"/>
        <v>147507779</v>
      </c>
    </row>
    <row r="10" spans="2:7">
      <c r="B10" s="51" t="s">
        <v>234</v>
      </c>
      <c r="C10" s="52">
        <f>+C8</f>
        <v>90439519</v>
      </c>
      <c r="D10" s="53">
        <v>0</v>
      </c>
      <c r="E10" s="52">
        <f>+E8</f>
        <v>-2091038</v>
      </c>
      <c r="F10" s="52">
        <f>SUM(C10:E10)</f>
        <v>88348481</v>
      </c>
    </row>
    <row r="12" spans="2:7">
      <c r="B12" s="163" t="s">
        <v>235</v>
      </c>
      <c r="C12" s="159"/>
      <c r="D12" s="159"/>
      <c r="E12" s="159"/>
      <c r="F12" s="159"/>
    </row>
    <row r="13" spans="2:7">
      <c r="B13" s="466" t="s">
        <v>184</v>
      </c>
      <c r="C13" s="466"/>
      <c r="D13" s="466"/>
      <c r="E13" s="466"/>
      <c r="F13" s="466"/>
    </row>
    <row r="14" spans="2:7">
      <c r="B14" s="159"/>
      <c r="C14" s="159"/>
      <c r="D14" s="159"/>
      <c r="E14" s="159"/>
      <c r="F14" s="159"/>
    </row>
    <row r="15" spans="2:7">
      <c r="B15" s="463" t="s">
        <v>410</v>
      </c>
      <c r="C15" s="463"/>
      <c r="D15" s="463"/>
      <c r="E15" s="463"/>
      <c r="F15" s="159"/>
    </row>
    <row r="16" spans="2:7" ht="11.65" customHeight="1"/>
    <row r="17" spans="2:6">
      <c r="B17" s="193" t="s">
        <v>360</v>
      </c>
      <c r="C17" s="193" t="s">
        <v>179</v>
      </c>
      <c r="D17" s="193" t="s">
        <v>207</v>
      </c>
    </row>
    <row r="18" spans="2:6">
      <c r="B18" s="38" t="s">
        <v>344</v>
      </c>
      <c r="C18" s="37">
        <v>19153977</v>
      </c>
      <c r="D18" s="37">
        <v>13036300</v>
      </c>
      <c r="E18" s="34"/>
      <c r="F18" s="16"/>
    </row>
    <row r="19" spans="2:6">
      <c r="B19" s="38" t="s">
        <v>345</v>
      </c>
      <c r="C19" s="37">
        <v>32619925</v>
      </c>
      <c r="D19" s="37">
        <v>37678331</v>
      </c>
      <c r="E19" s="34"/>
      <c r="F19" s="16"/>
    </row>
    <row r="20" spans="2:6">
      <c r="B20" s="38" t="s">
        <v>346</v>
      </c>
      <c r="C20" s="37">
        <v>0</v>
      </c>
      <c r="D20" s="37">
        <v>0</v>
      </c>
      <c r="E20" s="34"/>
      <c r="F20" s="16"/>
    </row>
    <row r="21" spans="2:6">
      <c r="B21" s="38" t="s">
        <v>325</v>
      </c>
      <c r="C21" s="37">
        <v>0</v>
      </c>
      <c r="D21" s="37">
        <v>0</v>
      </c>
      <c r="E21" s="34"/>
      <c r="F21" s="16"/>
    </row>
    <row r="22" spans="2:6">
      <c r="B22" s="38" t="s">
        <v>660</v>
      </c>
      <c r="C22" s="37">
        <v>0</v>
      </c>
      <c r="D22" s="37">
        <v>0</v>
      </c>
      <c r="E22" s="34"/>
      <c r="F22" s="16"/>
    </row>
    <row r="23" spans="2:6">
      <c r="B23" s="38" t="s">
        <v>556</v>
      </c>
      <c r="C23" s="37">
        <v>0</v>
      </c>
      <c r="D23" s="37">
        <v>2550307</v>
      </c>
      <c r="E23" s="34"/>
      <c r="F23" s="16"/>
    </row>
    <row r="24" spans="2:6">
      <c r="B24" s="38" t="s">
        <v>557</v>
      </c>
      <c r="C24" s="37">
        <v>143831</v>
      </c>
      <c r="D24" s="37">
        <v>1006847</v>
      </c>
      <c r="E24" s="34"/>
      <c r="F24" s="16"/>
    </row>
    <row r="25" spans="2:6">
      <c r="B25" s="38" t="s">
        <v>673</v>
      </c>
      <c r="C25" s="37">
        <v>0</v>
      </c>
      <c r="D25" s="37">
        <v>0</v>
      </c>
      <c r="E25" s="34"/>
      <c r="F25" s="16"/>
    </row>
    <row r="26" spans="2:6">
      <c r="B26" s="38" t="s">
        <v>755</v>
      </c>
      <c r="C26" s="37">
        <v>0</v>
      </c>
      <c r="D26" s="37">
        <v>48537626</v>
      </c>
      <c r="E26" s="34"/>
      <c r="F26" s="16"/>
    </row>
    <row r="27" spans="2:6">
      <c r="B27" s="38" t="s">
        <v>375</v>
      </c>
      <c r="C27" s="37">
        <v>2431813</v>
      </c>
      <c r="D27" s="37">
        <v>1757571</v>
      </c>
      <c r="E27" s="34"/>
      <c r="F27" s="16"/>
    </row>
    <row r="28" spans="2:6">
      <c r="B28" s="40" t="s">
        <v>208</v>
      </c>
      <c r="C28" s="41">
        <f>SUM(C18:C27)</f>
        <v>54349546</v>
      </c>
      <c r="D28" s="44">
        <f>SUM(D18:D27)</f>
        <v>104566982</v>
      </c>
      <c r="F28" s="12"/>
    </row>
    <row r="30" spans="2:6">
      <c r="B30" s="463" t="s">
        <v>558</v>
      </c>
      <c r="C30" s="463"/>
      <c r="D30" s="463"/>
      <c r="E30" s="463"/>
      <c r="F30" s="159"/>
    </row>
    <row r="31" spans="2:6" ht="11.65" customHeight="1"/>
    <row r="32" spans="2:6">
      <c r="B32" s="193" t="s">
        <v>360</v>
      </c>
      <c r="C32" s="193" t="s">
        <v>179</v>
      </c>
      <c r="D32" s="193" t="s">
        <v>207</v>
      </c>
    </row>
    <row r="33" spans="2:6">
      <c r="B33" s="38" t="s">
        <v>560</v>
      </c>
      <c r="C33" s="37">
        <v>311618073</v>
      </c>
      <c r="D33" s="37">
        <v>311618073</v>
      </c>
      <c r="E33" s="34"/>
      <c r="F33" s="16"/>
    </row>
    <row r="34" spans="2:6">
      <c r="B34" s="38"/>
      <c r="C34" s="37"/>
      <c r="D34" s="37">
        <v>0</v>
      </c>
      <c r="E34" s="34"/>
      <c r="F34" s="16"/>
    </row>
    <row r="35" spans="2:6">
      <c r="B35" s="40" t="s">
        <v>208</v>
      </c>
      <c r="C35" s="41">
        <f>SUM(C33:C34)</f>
        <v>311618073</v>
      </c>
      <c r="D35" s="44">
        <f>SUM(D33:D34)</f>
        <v>311618073</v>
      </c>
      <c r="F35" s="12"/>
    </row>
    <row r="36" spans="2:6">
      <c r="B36" s="46"/>
      <c r="C36" s="216"/>
      <c r="D36" s="217"/>
      <c r="F36" s="12"/>
    </row>
    <row r="37" spans="2:6">
      <c r="B37" s="163" t="s">
        <v>236</v>
      </c>
      <c r="C37" s="159"/>
      <c r="D37" s="159"/>
    </row>
    <row r="38" spans="2:6">
      <c r="B38" s="471" t="s">
        <v>184</v>
      </c>
      <c r="C38" s="471"/>
      <c r="D38" s="471"/>
    </row>
    <row r="39" spans="2:6">
      <c r="B39" s="158"/>
      <c r="C39" s="159"/>
      <c r="D39" s="159"/>
    </row>
    <row r="40" spans="2:6">
      <c r="B40" s="158" t="s">
        <v>411</v>
      </c>
      <c r="C40" s="159"/>
      <c r="D40" s="159"/>
    </row>
    <row r="41" spans="2:6" ht="16.149999999999999" customHeight="1">
      <c r="B41" s="188" t="s">
        <v>237</v>
      </c>
      <c r="C41" s="187" t="s">
        <v>238</v>
      </c>
      <c r="D41" s="188" t="s">
        <v>239</v>
      </c>
    </row>
    <row r="42" spans="2:6">
      <c r="B42" s="57" t="s">
        <v>561</v>
      </c>
      <c r="C42" s="56">
        <v>200000000</v>
      </c>
      <c r="D42" s="56">
        <v>200000000</v>
      </c>
    </row>
    <row r="43" spans="2:6">
      <c r="B43" s="59" t="s">
        <v>208</v>
      </c>
      <c r="C43" s="62">
        <f>+C42</f>
        <v>200000000</v>
      </c>
      <c r="D43" s="62">
        <f>+D42</f>
        <v>200000000</v>
      </c>
    </row>
    <row r="45" spans="2:6">
      <c r="B45" s="172" t="s">
        <v>412</v>
      </c>
      <c r="C45" s="27"/>
      <c r="D45" s="27"/>
    </row>
    <row r="46" spans="2:6">
      <c r="B46" s="188" t="s">
        <v>240</v>
      </c>
      <c r="C46" s="187" t="s">
        <v>238</v>
      </c>
      <c r="D46" s="188" t="s">
        <v>239</v>
      </c>
    </row>
    <row r="47" spans="2:6">
      <c r="B47" s="57" t="s">
        <v>561</v>
      </c>
      <c r="C47" s="141">
        <v>1380822</v>
      </c>
      <c r="D47" s="141">
        <v>1726027</v>
      </c>
    </row>
    <row r="48" spans="2:6">
      <c r="B48" s="142" t="s">
        <v>208</v>
      </c>
      <c r="C48" s="143">
        <f>+C47</f>
        <v>1380822</v>
      </c>
      <c r="D48" s="144">
        <f>+D47</f>
        <v>1726027</v>
      </c>
    </row>
    <row r="50" spans="2:6">
      <c r="B50" s="158" t="s">
        <v>413</v>
      </c>
    </row>
    <row r="51" spans="2:6">
      <c r="B51" s="188" t="s">
        <v>241</v>
      </c>
      <c r="C51" s="187" t="s">
        <v>238</v>
      </c>
      <c r="D51" s="188" t="s">
        <v>239</v>
      </c>
    </row>
    <row r="52" spans="2:6">
      <c r="B52" s="57" t="s">
        <v>379</v>
      </c>
      <c r="C52" s="53"/>
      <c r="D52" s="65"/>
    </row>
    <row r="53" spans="2:6">
      <c r="B53" s="59" t="s">
        <v>208</v>
      </c>
      <c r="C53" s="64" t="s">
        <v>137</v>
      </c>
      <c r="D53" s="66" t="s">
        <v>137</v>
      </c>
    </row>
    <row r="55" spans="2:6">
      <c r="B55" s="158" t="s">
        <v>414</v>
      </c>
    </row>
    <row r="56" spans="2:6">
      <c r="B56" s="188" t="s">
        <v>237</v>
      </c>
      <c r="C56" s="187" t="s">
        <v>238</v>
      </c>
      <c r="D56" s="188" t="s">
        <v>239</v>
      </c>
    </row>
    <row r="57" spans="2:6">
      <c r="B57" s="57" t="s">
        <v>561</v>
      </c>
      <c r="C57" s="56"/>
      <c r="D57" s="56">
        <v>0</v>
      </c>
    </row>
    <row r="58" spans="2:6">
      <c r="B58" s="59" t="s">
        <v>208</v>
      </c>
      <c r="C58" s="62">
        <f>+C57</f>
        <v>0</v>
      </c>
      <c r="D58" s="63">
        <f>+D57</f>
        <v>0</v>
      </c>
    </row>
    <row r="61" spans="2:6">
      <c r="B61" s="463" t="s">
        <v>242</v>
      </c>
      <c r="C61" s="463"/>
      <c r="D61" s="463"/>
      <c r="E61" s="159"/>
    </row>
    <row r="62" spans="2:6" ht="15.75" thickBot="1">
      <c r="B62" s="471" t="s">
        <v>184</v>
      </c>
      <c r="C62" s="471"/>
      <c r="D62" s="471"/>
      <c r="E62" s="471"/>
    </row>
    <row r="63" spans="2:6">
      <c r="B63" s="190" t="s">
        <v>171</v>
      </c>
      <c r="C63" s="191" t="s">
        <v>179</v>
      </c>
      <c r="D63" s="191" t="s">
        <v>243</v>
      </c>
    </row>
    <row r="64" spans="2:6">
      <c r="B64" s="57" t="s">
        <v>672</v>
      </c>
      <c r="C64" s="43">
        <v>1260000</v>
      </c>
      <c r="D64" s="43">
        <v>1080000</v>
      </c>
      <c r="F64" s="17"/>
    </row>
    <row r="65" spans="2:6">
      <c r="B65" s="57" t="s">
        <v>570</v>
      </c>
      <c r="C65" s="43">
        <v>55000</v>
      </c>
      <c r="D65" s="43">
        <v>50250</v>
      </c>
      <c r="F65" s="17"/>
    </row>
    <row r="66" spans="2:6">
      <c r="B66" s="57" t="s">
        <v>653</v>
      </c>
      <c r="C66" s="43">
        <v>766000</v>
      </c>
      <c r="D66" s="43">
        <v>0</v>
      </c>
      <c r="F66" s="17"/>
    </row>
    <row r="67" spans="2:6">
      <c r="B67" s="57" t="s">
        <v>715</v>
      </c>
      <c r="C67" s="43">
        <v>0</v>
      </c>
      <c r="D67" s="43">
        <v>0</v>
      </c>
      <c r="F67" s="17"/>
    </row>
    <row r="68" spans="2:6">
      <c r="B68" s="57" t="s">
        <v>694</v>
      </c>
      <c r="C68" s="43">
        <v>0</v>
      </c>
      <c r="D68" s="43">
        <v>38466</v>
      </c>
      <c r="F68" s="17"/>
    </row>
    <row r="69" spans="2:6">
      <c r="B69" s="57" t="s">
        <v>731</v>
      </c>
      <c r="C69" s="43">
        <v>2680373</v>
      </c>
      <c r="D69" s="43">
        <v>0</v>
      </c>
      <c r="F69" s="17"/>
    </row>
    <row r="70" spans="2:6">
      <c r="B70" s="57" t="s">
        <v>537</v>
      </c>
      <c r="C70" s="43">
        <v>2021551</v>
      </c>
      <c r="D70" s="43">
        <v>0</v>
      </c>
      <c r="F70" s="17"/>
    </row>
    <row r="71" spans="2:6">
      <c r="B71" s="57" t="s">
        <v>729</v>
      </c>
      <c r="C71" s="43">
        <v>2000000</v>
      </c>
      <c r="D71" s="43">
        <v>0</v>
      </c>
      <c r="F71" s="17"/>
    </row>
    <row r="72" spans="2:6">
      <c r="B72" s="57" t="s">
        <v>566</v>
      </c>
      <c r="C72" s="43">
        <v>33497</v>
      </c>
      <c r="D72" s="43">
        <v>0</v>
      </c>
      <c r="F72" s="17"/>
    </row>
    <row r="73" spans="2:6">
      <c r="B73" s="57" t="s">
        <v>575</v>
      </c>
      <c r="C73" s="43">
        <v>0</v>
      </c>
      <c r="D73" s="43">
        <v>1750000</v>
      </c>
      <c r="F73" s="17"/>
    </row>
    <row r="74" spans="2:6">
      <c r="B74" s="57" t="s">
        <v>716</v>
      </c>
      <c r="C74" s="43">
        <v>990572.32</v>
      </c>
      <c r="D74" s="43">
        <v>0</v>
      </c>
      <c r="F74" s="17"/>
    </row>
    <row r="75" spans="2:6">
      <c r="B75" s="57" t="s">
        <v>567</v>
      </c>
      <c r="C75" s="43">
        <v>140580</v>
      </c>
      <c r="D75" s="43">
        <v>359425</v>
      </c>
      <c r="F75" s="17"/>
    </row>
    <row r="76" spans="2:6">
      <c r="B76" s="57" t="s">
        <v>671</v>
      </c>
      <c r="C76" s="43">
        <v>2900000</v>
      </c>
      <c r="D76" s="43">
        <v>0</v>
      </c>
      <c r="F76" s="17"/>
    </row>
    <row r="77" spans="2:6">
      <c r="B77" s="57" t="s">
        <v>572</v>
      </c>
      <c r="C77" s="43">
        <v>0</v>
      </c>
      <c r="D77" s="43">
        <v>0</v>
      </c>
      <c r="F77" s="17"/>
    </row>
    <row r="78" spans="2:6">
      <c r="B78" s="57" t="s">
        <v>730</v>
      </c>
      <c r="C78" s="43">
        <v>5500000</v>
      </c>
      <c r="D78" s="43">
        <v>0</v>
      </c>
      <c r="F78" s="17"/>
    </row>
    <row r="79" spans="2:6">
      <c r="B79" s="57" t="s">
        <v>565</v>
      </c>
      <c r="C79" s="43">
        <v>157025</v>
      </c>
      <c r="D79" s="43">
        <v>124397</v>
      </c>
      <c r="F79" s="17"/>
    </row>
    <row r="80" spans="2:6">
      <c r="B80" s="57" t="s">
        <v>654</v>
      </c>
      <c r="C80" s="43">
        <v>8011.9820000000009</v>
      </c>
      <c r="D80" s="43">
        <v>0</v>
      </c>
      <c r="F80" s="17"/>
    </row>
    <row r="81" spans="2:6">
      <c r="B81" s="57" t="s">
        <v>717</v>
      </c>
      <c r="C81" s="43">
        <v>646909</v>
      </c>
      <c r="D81" s="43">
        <v>0</v>
      </c>
      <c r="F81" s="17"/>
    </row>
    <row r="82" spans="2:6">
      <c r="B82" s="57" t="s">
        <v>695</v>
      </c>
      <c r="C82" s="43">
        <v>0</v>
      </c>
      <c r="D82" s="43">
        <v>1375000</v>
      </c>
      <c r="F82" s="17"/>
    </row>
    <row r="83" spans="2:6">
      <c r="B83" s="57" t="s">
        <v>568</v>
      </c>
      <c r="C83" s="43">
        <v>4422615</v>
      </c>
      <c r="D83" s="43">
        <v>8416014</v>
      </c>
      <c r="F83" s="17"/>
    </row>
    <row r="84" spans="2:6">
      <c r="B84" s="57" t="s">
        <v>569</v>
      </c>
      <c r="C84" s="43">
        <v>360000</v>
      </c>
      <c r="D84" s="43">
        <v>510000</v>
      </c>
      <c r="F84" s="17"/>
    </row>
    <row r="85" spans="2:6">
      <c r="B85" s="57" t="s">
        <v>718</v>
      </c>
      <c r="C85" s="43">
        <v>180000</v>
      </c>
      <c r="D85" s="43">
        <v>0</v>
      </c>
      <c r="F85" s="17"/>
    </row>
    <row r="86" spans="2:6">
      <c r="B86" s="57" t="s">
        <v>719</v>
      </c>
      <c r="C86" s="43">
        <v>1250000</v>
      </c>
      <c r="D86" s="43">
        <v>0</v>
      </c>
      <c r="F86" s="17"/>
    </row>
    <row r="87" spans="2:6">
      <c r="B87" s="57" t="s">
        <v>655</v>
      </c>
      <c r="C87" s="43">
        <v>241780</v>
      </c>
      <c r="D87" s="43">
        <v>0</v>
      </c>
      <c r="F87" s="17"/>
    </row>
    <row r="88" spans="2:6">
      <c r="B88" s="57" t="s">
        <v>562</v>
      </c>
      <c r="C88" s="43">
        <v>0</v>
      </c>
      <c r="D88" s="43">
        <v>720000</v>
      </c>
      <c r="F88" s="17"/>
    </row>
    <row r="89" spans="2:6">
      <c r="B89" s="57" t="s">
        <v>732</v>
      </c>
      <c r="C89" s="43">
        <v>10816175.699999999</v>
      </c>
      <c r="D89" s="43">
        <v>0</v>
      </c>
      <c r="F89" s="17"/>
    </row>
    <row r="90" spans="2:6">
      <c r="B90" s="57" t="s">
        <v>696</v>
      </c>
      <c r="C90" s="43">
        <v>0</v>
      </c>
      <c r="D90" s="43">
        <v>0</v>
      </c>
      <c r="F90" s="17"/>
    </row>
    <row r="91" spans="2:6">
      <c r="B91" s="57" t="s">
        <v>571</v>
      </c>
      <c r="C91" s="43">
        <v>0</v>
      </c>
      <c r="D91" s="43">
        <v>0</v>
      </c>
      <c r="F91" s="17"/>
    </row>
    <row r="92" spans="2:6">
      <c r="B92" s="57" t="s">
        <v>656</v>
      </c>
      <c r="C92" s="43">
        <v>0</v>
      </c>
      <c r="D92" s="43">
        <v>2942430</v>
      </c>
      <c r="F92" s="17"/>
    </row>
    <row r="93" spans="2:6">
      <c r="B93" s="57" t="s">
        <v>573</v>
      </c>
      <c r="C93" s="43">
        <v>1410430</v>
      </c>
      <c r="D93" s="43">
        <v>1007789</v>
      </c>
      <c r="F93" s="17"/>
    </row>
    <row r="94" spans="2:6">
      <c r="B94" s="57" t="s">
        <v>564</v>
      </c>
      <c r="C94" s="43">
        <v>0</v>
      </c>
      <c r="D94" s="43">
        <v>0</v>
      </c>
      <c r="F94" s="17"/>
    </row>
    <row r="95" spans="2:6">
      <c r="B95" s="57" t="s">
        <v>563</v>
      </c>
      <c r="C95" s="43">
        <v>0</v>
      </c>
      <c r="D95" s="43">
        <v>0</v>
      </c>
      <c r="F95" s="17"/>
    </row>
    <row r="96" spans="2:6">
      <c r="B96" s="59" t="s">
        <v>208</v>
      </c>
      <c r="C96" s="63">
        <f>SUM(C64:C95)</f>
        <v>37840520.002000004</v>
      </c>
      <c r="D96" s="63">
        <f>SUM(D64:D95)</f>
        <v>18373771</v>
      </c>
      <c r="E96" s="19"/>
      <c r="F96" s="18"/>
    </row>
    <row r="98" spans="2:6">
      <c r="B98" s="163" t="s">
        <v>415</v>
      </c>
    </row>
    <row r="99" spans="2:6">
      <c r="B99" s="188" t="s">
        <v>171</v>
      </c>
      <c r="C99" s="188" t="s">
        <v>179</v>
      </c>
      <c r="D99" s="188" t="s">
        <v>243</v>
      </c>
    </row>
    <row r="100" spans="2:6">
      <c r="B100" s="57" t="s">
        <v>244</v>
      </c>
      <c r="C100" s="43">
        <v>0</v>
      </c>
      <c r="D100" s="42">
        <v>20029477.142000001</v>
      </c>
    </row>
    <row r="101" spans="2:6">
      <c r="B101" s="59" t="s">
        <v>208</v>
      </c>
      <c r="C101" s="63">
        <f>+C100</f>
        <v>0</v>
      </c>
      <c r="D101" s="63">
        <f>+D100</f>
        <v>20029477.142000001</v>
      </c>
      <c r="E101" s="19"/>
      <c r="F101" s="19"/>
    </row>
    <row r="103" spans="2:6">
      <c r="C103" s="19"/>
    </row>
  </sheetData>
  <sortState xmlns:xlrd2="http://schemas.microsoft.com/office/spreadsheetml/2017/richdata2" ref="B64:D95">
    <sortCondition ref="B64:B95"/>
  </sortState>
  <mergeCells count="7">
    <mergeCell ref="B62:E62"/>
    <mergeCell ref="B6:B7"/>
    <mergeCell ref="B13:F13"/>
    <mergeCell ref="B15:E15"/>
    <mergeCell ref="B38:D38"/>
    <mergeCell ref="B61:D61"/>
    <mergeCell ref="B30:E30"/>
  </mergeCells>
  <conditionalFormatting sqref="B64:B95">
    <cfRule type="duplicateValues" dxfId="1" priority="3"/>
    <cfRule type="duplicateValues" dxfId="0" priority="4"/>
  </conditionalFormatting>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B3:I78"/>
  <sheetViews>
    <sheetView showGridLines="0" zoomScaleNormal="100" workbookViewId="0">
      <selection activeCell="C9" sqref="C9"/>
    </sheetView>
  </sheetViews>
  <sheetFormatPr baseColWidth="10" defaultColWidth="11.42578125" defaultRowHeight="15"/>
  <cols>
    <col min="1" max="1" width="5.42578125" customWidth="1"/>
    <col min="2" max="2" width="68.42578125" bestFit="1" customWidth="1"/>
    <col min="3" max="3" width="27.28515625" bestFit="1" customWidth="1"/>
    <col min="4" max="4" width="19.28515625" bestFit="1" customWidth="1"/>
    <col min="5" max="5" width="22" bestFit="1" customWidth="1"/>
    <col min="6" max="6" width="16.85546875" bestFit="1" customWidth="1"/>
    <col min="7" max="7" width="22.28515625" customWidth="1"/>
  </cols>
  <sheetData>
    <row r="3" spans="2:5">
      <c r="B3" s="463" t="s">
        <v>245</v>
      </c>
      <c r="C3" s="463"/>
      <c r="D3" s="463"/>
      <c r="E3" s="463"/>
    </row>
    <row r="4" spans="2:5" ht="15.75" thickBot="1">
      <c r="B4" s="168"/>
      <c r="C4" s="168"/>
      <c r="D4" s="168"/>
      <c r="E4" s="159"/>
    </row>
    <row r="5" spans="2:5">
      <c r="B5" s="220" t="s">
        <v>171</v>
      </c>
      <c r="C5" s="221" t="s">
        <v>179</v>
      </c>
      <c r="D5" s="222" t="s">
        <v>243</v>
      </c>
    </row>
    <row r="6" spans="2:5">
      <c r="B6" s="223" t="s">
        <v>639</v>
      </c>
      <c r="C6" s="219">
        <v>0</v>
      </c>
      <c r="D6" s="219">
        <v>0</v>
      </c>
      <c r="E6" s="297"/>
    </row>
    <row r="7" spans="2:5">
      <c r="B7" s="223" t="s">
        <v>640</v>
      </c>
      <c r="C7" s="219">
        <v>0</v>
      </c>
      <c r="D7" s="219">
        <v>0</v>
      </c>
      <c r="E7" s="297"/>
    </row>
    <row r="8" spans="2:5">
      <c r="B8" s="223" t="s">
        <v>641</v>
      </c>
      <c r="C8" s="219">
        <v>0</v>
      </c>
      <c r="D8" s="219">
        <v>0</v>
      </c>
      <c r="E8" s="297"/>
    </row>
    <row r="9" spans="2:5">
      <c r="B9" s="223" t="s">
        <v>642</v>
      </c>
      <c r="C9" s="219">
        <v>64807127</v>
      </c>
      <c r="D9" s="219">
        <v>0</v>
      </c>
      <c r="E9" s="297"/>
    </row>
    <row r="10" spans="2:5" ht="15.75" thickBot="1">
      <c r="B10" s="225"/>
      <c r="C10" s="226">
        <f>SUM(C6:C9)</f>
        <v>64807127</v>
      </c>
      <c r="D10" s="227">
        <f>SUM(D6:D9)</f>
        <v>0</v>
      </c>
    </row>
    <row r="11" spans="2:5">
      <c r="B11" s="159"/>
      <c r="C11" s="162"/>
      <c r="D11" s="162"/>
      <c r="E11" s="162"/>
    </row>
    <row r="12" spans="2:5">
      <c r="B12" s="159"/>
      <c r="C12" s="159"/>
      <c r="D12" s="159"/>
      <c r="E12" s="159"/>
    </row>
    <row r="13" spans="2:5">
      <c r="B13" s="483" t="s">
        <v>406</v>
      </c>
      <c r="C13" s="483"/>
      <c r="D13" s="483"/>
      <c r="E13" s="159"/>
    </row>
    <row r="14" spans="2:5" ht="15.75" thickBot="1">
      <c r="B14" s="168"/>
      <c r="C14" s="168"/>
      <c r="D14" s="168"/>
      <c r="E14" s="159"/>
    </row>
    <row r="15" spans="2:5">
      <c r="B15" s="220" t="s">
        <v>171</v>
      </c>
      <c r="C15" s="221" t="s">
        <v>179</v>
      </c>
      <c r="D15" s="222" t="s">
        <v>243</v>
      </c>
    </row>
    <row r="16" spans="2:5">
      <c r="B16" s="223" t="s">
        <v>537</v>
      </c>
      <c r="C16" s="219">
        <v>0</v>
      </c>
      <c r="D16" s="219">
        <v>2000000</v>
      </c>
    </row>
    <row r="17" spans="2:4">
      <c r="B17" s="223" t="s">
        <v>574</v>
      </c>
      <c r="C17" s="219">
        <v>4265758</v>
      </c>
      <c r="D17" s="224">
        <v>0</v>
      </c>
    </row>
    <row r="18" spans="2:4" ht="15.75" thickBot="1">
      <c r="B18" s="225"/>
      <c r="C18" s="226">
        <f>SUM(C16:C17)</f>
        <v>4265758</v>
      </c>
      <c r="D18" s="227">
        <f>SUM(D16:D17)</f>
        <v>2000000</v>
      </c>
    </row>
    <row r="19" spans="2:4">
      <c r="B19" s="218"/>
      <c r="C19" s="248"/>
      <c r="D19" s="248"/>
    </row>
    <row r="20" spans="2:4" ht="15.75" thickBot="1">
      <c r="B20" s="218" t="s">
        <v>581</v>
      </c>
      <c r="C20" s="248"/>
      <c r="D20" s="248"/>
    </row>
    <row r="21" spans="2:4">
      <c r="B21" s="220" t="s">
        <v>171</v>
      </c>
      <c r="C21" s="221" t="s">
        <v>179</v>
      </c>
      <c r="D21" s="222" t="s">
        <v>243</v>
      </c>
    </row>
    <row r="22" spans="2:4">
      <c r="B22" s="223" t="s">
        <v>586</v>
      </c>
      <c r="C22" s="219">
        <v>0</v>
      </c>
      <c r="D22" s="219">
        <v>0</v>
      </c>
    </row>
    <row r="23" spans="2:4">
      <c r="B23" s="223" t="s">
        <v>587</v>
      </c>
      <c r="C23" s="219">
        <v>0</v>
      </c>
      <c r="D23" s="219">
        <v>0</v>
      </c>
    </row>
    <row r="24" spans="2:4">
      <c r="B24" s="223" t="s">
        <v>588</v>
      </c>
      <c r="C24" s="219">
        <v>0</v>
      </c>
      <c r="D24" s="219">
        <v>0</v>
      </c>
    </row>
    <row r="25" spans="2:4">
      <c r="B25" s="223" t="s">
        <v>589</v>
      </c>
      <c r="C25" s="219">
        <v>0</v>
      </c>
      <c r="D25" s="43">
        <v>12019938</v>
      </c>
    </row>
    <row r="26" spans="2:4">
      <c r="B26" s="223" t="s">
        <v>590</v>
      </c>
      <c r="C26" s="219">
        <v>0</v>
      </c>
      <c r="D26" s="219">
        <v>0</v>
      </c>
    </row>
    <row r="27" spans="2:4">
      <c r="B27" s="251" t="s">
        <v>602</v>
      </c>
      <c r="C27" s="219">
        <v>0</v>
      </c>
      <c r="D27" s="219">
        <v>0</v>
      </c>
    </row>
    <row r="28" spans="2:4">
      <c r="B28" s="223" t="s">
        <v>591</v>
      </c>
      <c r="C28" s="219">
        <v>0</v>
      </c>
      <c r="D28" s="219">
        <v>0</v>
      </c>
    </row>
    <row r="29" spans="2:4">
      <c r="B29" s="223" t="s">
        <v>592</v>
      </c>
      <c r="C29" s="219">
        <v>0</v>
      </c>
      <c r="D29" s="219">
        <v>0</v>
      </c>
    </row>
    <row r="30" spans="2:4">
      <c r="B30" s="223" t="s">
        <v>593</v>
      </c>
      <c r="C30" s="219">
        <v>0</v>
      </c>
      <c r="D30" s="219">
        <v>0</v>
      </c>
    </row>
    <row r="31" spans="2:4">
      <c r="B31" s="249" t="s">
        <v>594</v>
      </c>
      <c r="C31" s="219">
        <v>0</v>
      </c>
      <c r="D31" s="219">
        <v>0</v>
      </c>
    </row>
    <row r="32" spans="2:4" ht="15.75" thickBot="1">
      <c r="B32" s="225"/>
      <c r="C32" s="226">
        <f>SUM(C22:C31)</f>
        <v>0</v>
      </c>
      <c r="D32" s="226">
        <f>SUM(D22:D31)</f>
        <v>12019938</v>
      </c>
    </row>
    <row r="33" spans="2:6">
      <c r="B33" s="159"/>
      <c r="C33" s="168"/>
      <c r="D33" s="168"/>
      <c r="E33" s="159"/>
    </row>
    <row r="34" spans="2:6">
      <c r="B34" s="158" t="s">
        <v>246</v>
      </c>
      <c r="C34" s="159"/>
      <c r="D34" s="159"/>
      <c r="E34" s="159"/>
    </row>
    <row r="35" spans="2:6">
      <c r="B35" s="159" t="s">
        <v>381</v>
      </c>
      <c r="C35" s="159"/>
      <c r="D35" s="159"/>
      <c r="E35" s="159"/>
    </row>
    <row r="36" spans="2:6">
      <c r="B36" s="159"/>
      <c r="C36" s="159"/>
      <c r="D36" s="159"/>
      <c r="E36" s="159"/>
    </row>
    <row r="37" spans="2:6">
      <c r="B37" s="463" t="s">
        <v>247</v>
      </c>
      <c r="C37" s="463"/>
      <c r="D37" s="159"/>
      <c r="E37" s="159"/>
    </row>
    <row r="38" spans="2:6">
      <c r="B38" s="162"/>
      <c r="C38" s="162"/>
      <c r="D38" s="159"/>
      <c r="E38" s="159"/>
    </row>
    <row r="39" spans="2:6" ht="15.75" thickBot="1">
      <c r="B39" s="471" t="s">
        <v>184</v>
      </c>
      <c r="C39" s="471"/>
      <c r="D39" s="471"/>
      <c r="E39" s="471"/>
    </row>
    <row r="40" spans="2:6">
      <c r="B40" s="190" t="s">
        <v>171</v>
      </c>
      <c r="C40" s="191" t="s">
        <v>179</v>
      </c>
      <c r="D40" s="191" t="s">
        <v>243</v>
      </c>
    </row>
    <row r="41" spans="2:6">
      <c r="B41" s="57" t="s">
        <v>661</v>
      </c>
      <c r="C41" s="43">
        <v>0</v>
      </c>
      <c r="D41" s="43">
        <v>0</v>
      </c>
      <c r="F41" s="17"/>
    </row>
    <row r="42" spans="2:6">
      <c r="B42" s="57" t="s">
        <v>662</v>
      </c>
      <c r="C42" s="43">
        <v>1910988</v>
      </c>
      <c r="D42" s="43">
        <v>1399779</v>
      </c>
      <c r="F42" s="17"/>
    </row>
    <row r="43" spans="2:6">
      <c r="B43" s="57" t="s">
        <v>578</v>
      </c>
      <c r="C43" s="43">
        <f>18000000</f>
        <v>18000000</v>
      </c>
      <c r="D43" s="43">
        <v>18419942</v>
      </c>
      <c r="F43" s="17"/>
    </row>
    <row r="44" spans="2:6">
      <c r="B44" s="59" t="s">
        <v>208</v>
      </c>
      <c r="C44" s="63">
        <f>SUM(C41:C43)</f>
        <v>19910988</v>
      </c>
      <c r="D44" s="63">
        <f>SUM(D41:D43)</f>
        <v>19819721</v>
      </c>
      <c r="E44" s="19"/>
      <c r="F44" s="18"/>
    </row>
    <row r="45" spans="2:6">
      <c r="B45" s="133"/>
      <c r="C45" s="133"/>
    </row>
    <row r="47" spans="2:6">
      <c r="B47" s="158" t="s">
        <v>249</v>
      </c>
      <c r="C47" s="159"/>
      <c r="D47" s="159"/>
    </row>
    <row r="48" spans="2:6" ht="15.75" hidden="1" thickBot="1">
      <c r="B48" s="171" t="s">
        <v>407</v>
      </c>
      <c r="C48" s="169"/>
      <c r="D48" s="169"/>
      <c r="F48" s="31"/>
    </row>
    <row r="49" spans="2:9" ht="15.75" hidden="1" thickBot="1">
      <c r="B49" s="171" t="s">
        <v>408</v>
      </c>
      <c r="C49" s="169"/>
      <c r="D49" s="169"/>
      <c r="F49" s="31"/>
    </row>
    <row r="50" spans="2:9" ht="15.75" hidden="1" thickBot="1">
      <c r="B50" s="171" t="s">
        <v>409</v>
      </c>
      <c r="C50" s="169"/>
      <c r="D50" s="169"/>
      <c r="F50" s="31"/>
    </row>
    <row r="51" spans="2:9">
      <c r="B51" s="159" t="s">
        <v>381</v>
      </c>
      <c r="C51" s="170"/>
      <c r="D51" s="170"/>
      <c r="F51" s="31"/>
    </row>
    <row r="52" spans="2:9">
      <c r="B52" s="159"/>
      <c r="C52" s="159"/>
      <c r="D52" s="159"/>
    </row>
    <row r="53" spans="2:9">
      <c r="B53" s="478" t="s">
        <v>250</v>
      </c>
      <c r="C53" s="478"/>
      <c r="D53" s="478"/>
    </row>
    <row r="54" spans="2:9">
      <c r="B54" s="160"/>
      <c r="C54" s="159"/>
      <c r="D54" s="159"/>
    </row>
    <row r="55" spans="2:9">
      <c r="B55" s="163" t="s">
        <v>630</v>
      </c>
      <c r="C55" s="159"/>
      <c r="D55" s="159"/>
      <c r="F55" s="293"/>
      <c r="G55" s="32"/>
      <c r="H55" s="32"/>
      <c r="I55" s="32"/>
    </row>
    <row r="56" spans="2:9" ht="15.75" thickBot="1">
      <c r="B56" s="163"/>
      <c r="C56" s="159"/>
      <c r="D56" s="159"/>
      <c r="F56" s="293"/>
    </row>
    <row r="57" spans="2:9">
      <c r="B57" s="190" t="s">
        <v>631</v>
      </c>
      <c r="C57" s="191" t="s">
        <v>171</v>
      </c>
      <c r="D57" s="191" t="s">
        <v>632</v>
      </c>
      <c r="E57" s="221" t="s">
        <v>179</v>
      </c>
      <c r="F57" s="222" t="s">
        <v>243</v>
      </c>
    </row>
    <row r="58" spans="2:9">
      <c r="B58" s="223" t="s">
        <v>537</v>
      </c>
      <c r="C58" s="57" t="s">
        <v>697</v>
      </c>
      <c r="D58" s="57" t="s">
        <v>395</v>
      </c>
      <c r="E58" s="219">
        <v>14500000</v>
      </c>
      <c r="F58" s="219">
        <v>14620000.060000001</v>
      </c>
    </row>
    <row r="59" spans="2:9">
      <c r="B59" s="323" t="s">
        <v>538</v>
      </c>
      <c r="C59" s="57" t="s">
        <v>697</v>
      </c>
      <c r="D59" s="57" t="s">
        <v>698</v>
      </c>
      <c r="E59" s="324">
        <v>3500000</v>
      </c>
      <c r="F59" s="324">
        <v>3500000.14</v>
      </c>
    </row>
    <row r="60" spans="2:9" ht="15.75" thickBot="1">
      <c r="B60" s="225"/>
      <c r="C60" s="59"/>
      <c r="D60" s="59"/>
      <c r="E60" s="226">
        <f>SUM(E58:E59)</f>
        <v>18000000</v>
      </c>
      <c r="F60" s="227">
        <f>SUM(F58:F59)</f>
        <v>18120000.199999999</v>
      </c>
    </row>
    <row r="62" spans="2:9">
      <c r="B62" s="8"/>
      <c r="F62" s="293"/>
    </row>
    <row r="63" spans="2:9">
      <c r="B63" s="163" t="s">
        <v>633</v>
      </c>
      <c r="C63" s="294"/>
      <c r="D63" s="295"/>
      <c r="F63" s="293"/>
    </row>
    <row r="64" spans="2:9" ht="15.75" thickBot="1">
      <c r="B64" s="482" t="s">
        <v>634</v>
      </c>
      <c r="C64" s="482"/>
      <c r="D64" s="482"/>
      <c r="E64" s="482"/>
      <c r="F64" s="482"/>
    </row>
    <row r="65" spans="2:6">
      <c r="B65" s="190" t="s">
        <v>631</v>
      </c>
      <c r="C65" s="191" t="s">
        <v>171</v>
      </c>
      <c r="D65" s="191" t="s">
        <v>632</v>
      </c>
      <c r="E65" s="191" t="s">
        <v>179</v>
      </c>
      <c r="F65" s="191" t="s">
        <v>243</v>
      </c>
    </row>
    <row r="66" spans="2:6">
      <c r="B66" s="57" t="s">
        <v>537</v>
      </c>
      <c r="C66" s="57" t="s">
        <v>756</v>
      </c>
      <c r="D66" s="57" t="s">
        <v>395</v>
      </c>
      <c r="E66" s="43"/>
      <c r="F66" s="43">
        <v>74883600</v>
      </c>
    </row>
    <row r="67" spans="2:6">
      <c r="B67" s="57" t="s">
        <v>537</v>
      </c>
      <c r="C67" s="57" t="s">
        <v>635</v>
      </c>
      <c r="D67" s="57" t="s">
        <v>395</v>
      </c>
      <c r="E67" s="43"/>
      <c r="F67" s="43">
        <v>755649</v>
      </c>
    </row>
    <row r="68" spans="2:6">
      <c r="B68" s="57" t="s">
        <v>537</v>
      </c>
      <c r="C68" s="57" t="s">
        <v>703</v>
      </c>
      <c r="D68" s="57" t="s">
        <v>395</v>
      </c>
      <c r="E68" s="43"/>
      <c r="F68" s="43">
        <v>0</v>
      </c>
    </row>
    <row r="69" spans="2:6">
      <c r="B69" s="57" t="s">
        <v>538</v>
      </c>
      <c r="C69" s="57" t="s">
        <v>635</v>
      </c>
      <c r="D69" s="57" t="s">
        <v>636</v>
      </c>
      <c r="E69" s="43"/>
      <c r="F69" s="43">
        <v>496015</v>
      </c>
    </row>
    <row r="70" spans="2:6">
      <c r="B70" s="59" t="s">
        <v>208</v>
      </c>
      <c r="C70" s="59"/>
      <c r="D70" s="59"/>
      <c r="E70" s="63">
        <f>SUM(E67:E69)</f>
        <v>0</v>
      </c>
      <c r="F70" s="63">
        <f>SUM(F66:F69)</f>
        <v>76135264</v>
      </c>
    </row>
    <row r="72" spans="2:6" ht="15.75" thickBot="1">
      <c r="B72" s="482" t="s">
        <v>637</v>
      </c>
      <c r="C72" s="482"/>
      <c r="D72" s="482"/>
      <c r="E72" s="482"/>
      <c r="F72" s="482"/>
    </row>
    <row r="73" spans="2:6">
      <c r="B73" s="190" t="s">
        <v>631</v>
      </c>
      <c r="C73" s="191" t="s">
        <v>171</v>
      </c>
      <c r="D73" s="191" t="s">
        <v>632</v>
      </c>
      <c r="E73" s="191" t="s">
        <v>179</v>
      </c>
      <c r="F73" s="191" t="s">
        <v>243</v>
      </c>
    </row>
    <row r="74" spans="2:6">
      <c r="B74" s="57" t="s">
        <v>537</v>
      </c>
      <c r="C74" s="57" t="s">
        <v>638</v>
      </c>
      <c r="D74" s="57" t="s">
        <v>395</v>
      </c>
      <c r="E74" s="43"/>
      <c r="F74" s="43">
        <v>21818184</v>
      </c>
    </row>
    <row r="75" spans="2:6">
      <c r="B75" s="57" t="s">
        <v>537</v>
      </c>
      <c r="C75" s="57" t="s">
        <v>699</v>
      </c>
      <c r="D75" s="57" t="s">
        <v>395</v>
      </c>
      <c r="E75" s="43"/>
      <c r="F75" s="43">
        <v>0</v>
      </c>
    </row>
    <row r="76" spans="2:6">
      <c r="B76" s="57" t="s">
        <v>538</v>
      </c>
      <c r="C76" s="57" t="s">
        <v>638</v>
      </c>
      <c r="D76" s="57" t="s">
        <v>636</v>
      </c>
      <c r="E76" s="43"/>
      <c r="F76" s="43">
        <v>29090911</v>
      </c>
    </row>
    <row r="77" spans="2:6">
      <c r="B77" s="57" t="s">
        <v>538</v>
      </c>
      <c r="C77" s="57" t="s">
        <v>699</v>
      </c>
      <c r="D77" s="57" t="s">
        <v>636</v>
      </c>
      <c r="E77" s="43"/>
      <c r="F77" s="43">
        <v>1948936</v>
      </c>
    </row>
    <row r="78" spans="2:6">
      <c r="B78" s="59" t="s">
        <v>208</v>
      </c>
      <c r="C78" s="59"/>
      <c r="D78" s="59"/>
      <c r="E78" s="63">
        <f>SUM(E74:E77)</f>
        <v>0</v>
      </c>
      <c r="F78" s="63">
        <f>SUM(F74:F77)</f>
        <v>52858031</v>
      </c>
    </row>
  </sheetData>
  <mergeCells count="7">
    <mergeCell ref="B64:F64"/>
    <mergeCell ref="B72:F72"/>
    <mergeCell ref="B39:E39"/>
    <mergeCell ref="B3:E3"/>
    <mergeCell ref="B13:D13"/>
    <mergeCell ref="B37:C37"/>
    <mergeCell ref="B53:D53"/>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B3:G106"/>
  <sheetViews>
    <sheetView showGridLines="0" topLeftCell="A24" zoomScale="102" zoomScaleNormal="102" workbookViewId="0">
      <selection activeCell="C37" sqref="C37"/>
    </sheetView>
  </sheetViews>
  <sheetFormatPr baseColWidth="10" defaultColWidth="11.42578125" defaultRowHeight="12.75"/>
  <cols>
    <col min="1" max="1" width="5.5703125" style="21" customWidth="1"/>
    <col min="2" max="2" width="55.28515625" style="21" bestFit="1" customWidth="1"/>
    <col min="3" max="3" width="19.42578125" style="21" bestFit="1" customWidth="1"/>
    <col min="4" max="4" width="19.7109375" style="21" bestFit="1" customWidth="1"/>
    <col min="5" max="5" width="15.42578125" style="21" customWidth="1"/>
    <col min="6" max="6" width="14.5703125" style="21" customWidth="1"/>
    <col min="7" max="7" width="17.7109375" style="21" bestFit="1" customWidth="1"/>
    <col min="8" max="8" width="19.5703125" style="21" customWidth="1"/>
    <col min="9" max="16384" width="11.42578125" style="21"/>
  </cols>
  <sheetData>
    <row r="3" spans="2:7">
      <c r="B3" s="165" t="s">
        <v>251</v>
      </c>
      <c r="C3" s="165"/>
      <c r="D3" s="165"/>
      <c r="E3" s="165"/>
      <c r="F3" s="165"/>
      <c r="G3" s="20"/>
    </row>
    <row r="4" spans="2:7" ht="13.5" thickBot="1">
      <c r="B4" s="165"/>
      <c r="C4" s="165"/>
      <c r="D4" s="165"/>
      <c r="E4" s="165"/>
      <c r="F4" s="165"/>
      <c r="G4" s="20"/>
    </row>
    <row r="5" spans="2:7" customFormat="1" ht="15">
      <c r="B5" s="190" t="s">
        <v>171</v>
      </c>
      <c r="C5" s="191" t="s">
        <v>179</v>
      </c>
      <c r="D5" s="191" t="s">
        <v>243</v>
      </c>
    </row>
    <row r="6" spans="2:7" customFormat="1" ht="15">
      <c r="B6" s="57" t="s">
        <v>585</v>
      </c>
      <c r="C6" s="43"/>
      <c r="D6" s="58"/>
      <c r="F6" s="17"/>
    </row>
    <row r="7" spans="2:7" customFormat="1" ht="15">
      <c r="B7" s="59" t="s">
        <v>208</v>
      </c>
      <c r="C7" s="63">
        <f>SUM(C6:C6)</f>
        <v>0</v>
      </c>
      <c r="D7" s="63">
        <f>SUM(D6:D6)</f>
        <v>0</v>
      </c>
      <c r="E7" s="19"/>
      <c r="F7" s="18"/>
    </row>
    <row r="8" spans="2:7">
      <c r="B8" s="471"/>
      <c r="C8" s="471"/>
      <c r="D8" s="471"/>
      <c r="E8" s="471"/>
      <c r="F8" s="159"/>
    </row>
    <row r="9" spans="2:7">
      <c r="B9" s="159"/>
      <c r="C9" s="167"/>
      <c r="D9" s="159"/>
      <c r="E9" s="159"/>
      <c r="F9" s="159"/>
    </row>
    <row r="10" spans="2:7">
      <c r="B10" s="463" t="s">
        <v>252</v>
      </c>
      <c r="C10" s="463"/>
      <c r="D10" s="463"/>
      <c r="E10" s="463"/>
      <c r="F10" s="463"/>
    </row>
    <row r="11" spans="2:7" ht="39" customHeight="1">
      <c r="B11" s="187" t="s">
        <v>171</v>
      </c>
      <c r="C11" s="187" t="s">
        <v>253</v>
      </c>
      <c r="D11" s="187" t="s">
        <v>230</v>
      </c>
      <c r="E11" s="187" t="s">
        <v>254</v>
      </c>
      <c r="F11" s="187" t="s">
        <v>255</v>
      </c>
    </row>
    <row r="12" spans="2:7">
      <c r="B12" s="254" t="s">
        <v>41</v>
      </c>
      <c r="C12" s="52">
        <f>+'Balance General'!G43</f>
        <v>3542900000</v>
      </c>
      <c r="D12" s="52">
        <f>+'Balance General'!F43-'Balance General'!G43</f>
        <v>684500000</v>
      </c>
      <c r="E12" s="52">
        <v>0</v>
      </c>
      <c r="F12" s="52">
        <f>SUM(C12:E12)</f>
        <v>4227400000</v>
      </c>
      <c r="G12" s="22"/>
    </row>
    <row r="13" spans="2:7">
      <c r="B13" s="254" t="s">
        <v>615</v>
      </c>
      <c r="C13" s="52">
        <f>+'Balance General'!G46</f>
        <v>802000000</v>
      </c>
      <c r="D13" s="52">
        <f>+'Balance General'!F46-'Balance General'!G46</f>
        <v>1000000</v>
      </c>
      <c r="E13" s="52">
        <v>0</v>
      </c>
      <c r="F13" s="52">
        <f t="shared" ref="F13:F18" si="0">SUM(C13:E13)</f>
        <v>803000000</v>
      </c>
      <c r="G13" s="22"/>
    </row>
    <row r="14" spans="2:7">
      <c r="B14" s="254" t="s">
        <v>256</v>
      </c>
      <c r="C14" s="52">
        <f>+'Balance General'!G44</f>
        <v>9900298</v>
      </c>
      <c r="D14" s="52">
        <f>+'Balance General'!F44-'Balance General'!G44</f>
        <v>115000</v>
      </c>
      <c r="E14" s="52">
        <v>0</v>
      </c>
      <c r="F14" s="52">
        <f t="shared" si="0"/>
        <v>10015298</v>
      </c>
      <c r="G14" s="22"/>
    </row>
    <row r="15" spans="2:7">
      <c r="B15" s="254" t="s">
        <v>616</v>
      </c>
      <c r="C15" s="52">
        <f>+'Balance General'!G45</f>
        <v>14010438</v>
      </c>
      <c r="D15" s="52">
        <f>+'Balance General'!G45-'Balance General'!F45</f>
        <v>0</v>
      </c>
      <c r="E15" s="52"/>
      <c r="F15" s="52">
        <f t="shared" si="0"/>
        <v>14010438</v>
      </c>
      <c r="G15" s="22"/>
    </row>
    <row r="16" spans="2:7" ht="18.75" customHeight="1">
      <c r="B16" s="254" t="s">
        <v>257</v>
      </c>
      <c r="C16" s="52">
        <f>+'Balance General'!G47</f>
        <v>162413768</v>
      </c>
      <c r="D16" s="52">
        <f>+'Balance General'!F47-'Balance General'!G47</f>
        <v>52238499</v>
      </c>
      <c r="E16" s="52">
        <v>0</v>
      </c>
      <c r="F16" s="52">
        <f t="shared" si="0"/>
        <v>214652267</v>
      </c>
      <c r="G16" s="22"/>
    </row>
    <row r="17" spans="2:7">
      <c r="B17" s="254" t="s">
        <v>258</v>
      </c>
      <c r="C17" s="52">
        <f>+'Balance General'!G52</f>
        <v>-1528230865</v>
      </c>
      <c r="D17" s="52">
        <f>+'Balance General'!F52-'Balance General'!G52</f>
        <v>-15481307</v>
      </c>
      <c r="E17" s="52">
        <v>0</v>
      </c>
      <c r="F17" s="52">
        <f t="shared" si="0"/>
        <v>-1543712172</v>
      </c>
      <c r="G17" s="22"/>
    </row>
    <row r="18" spans="2:7">
      <c r="B18" s="254" t="s">
        <v>259</v>
      </c>
      <c r="C18" s="52">
        <f>+'Balance General'!G53</f>
        <v>212471760</v>
      </c>
      <c r="D18" s="52">
        <v>0</v>
      </c>
      <c r="E18" s="52">
        <f>+'Balance General'!F53-'Balance General'!G53</f>
        <v>-296268199</v>
      </c>
      <c r="F18" s="52">
        <f t="shared" si="0"/>
        <v>-83796439</v>
      </c>
      <c r="G18" s="22"/>
    </row>
    <row r="19" spans="2:7">
      <c r="B19" s="54" t="s">
        <v>260</v>
      </c>
      <c r="C19" s="55">
        <f t="shared" ref="C19:E19" si="1">SUM(C12:C18)</f>
        <v>3215465399</v>
      </c>
      <c r="D19" s="55">
        <f t="shared" si="1"/>
        <v>722372192</v>
      </c>
      <c r="E19" s="55">
        <f t="shared" si="1"/>
        <v>-296268199</v>
      </c>
      <c r="F19" s="55">
        <f>SUM(F12:F18)</f>
        <v>3641569392</v>
      </c>
      <c r="G19" s="33"/>
    </row>
    <row r="20" spans="2:7">
      <c r="B20" s="163" t="s">
        <v>261</v>
      </c>
      <c r="C20" s="159"/>
      <c r="D20" s="159"/>
      <c r="E20" s="159"/>
      <c r="F20" s="159"/>
    </row>
    <row r="21" spans="2:7">
      <c r="B21" s="160" t="s">
        <v>381</v>
      </c>
      <c r="C21" s="159"/>
      <c r="D21" s="159"/>
      <c r="E21" s="159"/>
      <c r="F21" s="159"/>
    </row>
    <row r="22" spans="2:7">
      <c r="B22" s="159"/>
      <c r="C22" s="159"/>
      <c r="D22" s="159"/>
      <c r="E22" s="159"/>
      <c r="F22" s="159"/>
    </row>
    <row r="23" spans="2:7">
      <c r="B23" s="463" t="s">
        <v>262</v>
      </c>
      <c r="C23" s="463"/>
      <c r="D23" s="463"/>
      <c r="E23" s="463"/>
      <c r="F23" s="463"/>
    </row>
    <row r="24" spans="2:7">
      <c r="B24" s="163" t="s">
        <v>263</v>
      </c>
      <c r="C24" s="159"/>
      <c r="D24" s="159"/>
      <c r="E24" s="159"/>
      <c r="F24" s="159"/>
    </row>
    <row r="25" spans="2:7">
      <c r="B25" s="479" t="s">
        <v>171</v>
      </c>
      <c r="C25" s="188" t="s">
        <v>265</v>
      </c>
      <c r="D25" s="188" t="s">
        <v>267</v>
      </c>
      <c r="E25" s="159"/>
      <c r="F25" s="159"/>
    </row>
    <row r="26" spans="2:7">
      <c r="B26" s="479"/>
      <c r="C26" s="188" t="s">
        <v>266</v>
      </c>
      <c r="D26" s="188" t="s">
        <v>268</v>
      </c>
      <c r="E26" s="159"/>
      <c r="F26" s="159"/>
    </row>
    <row r="27" spans="2:7">
      <c r="B27" s="211" t="s">
        <v>537</v>
      </c>
      <c r="C27" s="213">
        <f>+'Anexo 5n-5r'!E67+'Anexo 5n-5r'!E68</f>
        <v>0</v>
      </c>
      <c r="D27" s="212">
        <v>755649</v>
      </c>
      <c r="E27" s="159"/>
      <c r="F27" s="159"/>
    </row>
    <row r="28" spans="2:7">
      <c r="B28" s="211" t="s">
        <v>538</v>
      </c>
      <c r="C28" s="213"/>
      <c r="D28" s="212">
        <v>496015</v>
      </c>
      <c r="E28" s="159"/>
      <c r="F28" s="159"/>
    </row>
    <row r="29" spans="2:7">
      <c r="B29" s="140" t="s">
        <v>208</v>
      </c>
      <c r="C29" s="214">
        <f>SUM(C27:C28)</f>
        <v>0</v>
      </c>
      <c r="D29" s="214">
        <f>SUM(D27:D28)</f>
        <v>1251664</v>
      </c>
      <c r="E29" s="159"/>
      <c r="F29" s="159"/>
    </row>
    <row r="30" spans="2:7">
      <c r="B30" s="161"/>
      <c r="C30" s="159"/>
      <c r="D30" s="159"/>
      <c r="E30" s="159"/>
      <c r="F30" s="159"/>
    </row>
    <row r="31" spans="2:7">
      <c r="B31" s="159"/>
      <c r="C31" s="159"/>
      <c r="D31" s="159"/>
      <c r="E31" s="159"/>
      <c r="F31" s="159"/>
    </row>
    <row r="32" spans="2:7">
      <c r="B32" s="162" t="s">
        <v>264</v>
      </c>
      <c r="C32" s="159"/>
      <c r="D32" s="159"/>
      <c r="E32" s="159"/>
      <c r="F32" s="159"/>
    </row>
    <row r="33" spans="2:7">
      <c r="B33" s="161" t="s">
        <v>184</v>
      </c>
      <c r="C33" s="159"/>
      <c r="D33" s="159"/>
      <c r="E33" s="159"/>
      <c r="F33" s="159"/>
    </row>
    <row r="34" spans="2:7">
      <c r="B34" s="479" t="s">
        <v>171</v>
      </c>
      <c r="C34" s="188" t="s">
        <v>265</v>
      </c>
      <c r="D34" s="188" t="s">
        <v>267</v>
      </c>
    </row>
    <row r="35" spans="2:7">
      <c r="B35" s="479"/>
      <c r="C35" s="188" t="s">
        <v>266</v>
      </c>
      <c r="D35" s="188" t="s">
        <v>268</v>
      </c>
    </row>
    <row r="36" spans="2:7">
      <c r="B36" s="57" t="s">
        <v>269</v>
      </c>
      <c r="C36" s="43">
        <v>77156890</v>
      </c>
      <c r="D36" s="43">
        <v>125107143</v>
      </c>
      <c r="E36" s="35"/>
      <c r="F36" s="23"/>
    </row>
    <row r="37" spans="2:7">
      <c r="B37" s="57" t="s">
        <v>270</v>
      </c>
      <c r="C37" s="43">
        <v>149196080</v>
      </c>
      <c r="D37" s="43">
        <v>36638235</v>
      </c>
      <c r="F37" s="23"/>
    </row>
    <row r="38" spans="2:7">
      <c r="B38" s="57" t="s">
        <v>351</v>
      </c>
      <c r="C38" s="43">
        <v>28017229</v>
      </c>
      <c r="D38" s="43">
        <v>95980464</v>
      </c>
      <c r="E38" s="35"/>
      <c r="F38" s="23"/>
    </row>
    <row r="39" spans="2:7">
      <c r="B39" s="57" t="s">
        <v>353</v>
      </c>
      <c r="C39" s="43">
        <v>250795634</v>
      </c>
      <c r="D39" s="43">
        <v>385725157</v>
      </c>
      <c r="E39" s="35"/>
      <c r="F39" s="23"/>
    </row>
    <row r="40" spans="2:7">
      <c r="B40" s="57" t="s">
        <v>352</v>
      </c>
      <c r="C40" s="43">
        <v>109708286</v>
      </c>
      <c r="D40" s="43">
        <v>175106786</v>
      </c>
      <c r="E40" s="35"/>
      <c r="F40" s="23"/>
    </row>
    <row r="41" spans="2:7">
      <c r="B41" s="57" t="s">
        <v>271</v>
      </c>
      <c r="C41" s="43">
        <v>8548444</v>
      </c>
      <c r="D41" s="43">
        <v>67775818</v>
      </c>
      <c r="E41" s="35"/>
      <c r="F41" s="23"/>
    </row>
    <row r="42" spans="2:7">
      <c r="B42" s="59" t="s">
        <v>208</v>
      </c>
      <c r="C42" s="63">
        <f>SUM(C36:C41)</f>
        <v>623422563</v>
      </c>
      <c r="D42" s="63">
        <f>SUM(D36:D41)</f>
        <v>886333603</v>
      </c>
      <c r="F42" s="298"/>
      <c r="G42" s="33"/>
    </row>
    <row r="45" spans="2:7">
      <c r="B45" s="163" t="s">
        <v>272</v>
      </c>
    </row>
    <row r="46" spans="2:7">
      <c r="B46" s="158" t="s">
        <v>273</v>
      </c>
    </row>
    <row r="47" spans="2:7">
      <c r="B47" s="160" t="s">
        <v>184</v>
      </c>
    </row>
    <row r="48" spans="2:7">
      <c r="B48" s="456" t="s">
        <v>248</v>
      </c>
      <c r="C48" s="187" t="s">
        <v>274</v>
      </c>
      <c r="D48" s="189" t="s">
        <v>279</v>
      </c>
    </row>
    <row r="49" spans="2:6">
      <c r="B49" s="456"/>
      <c r="C49" s="187" t="s">
        <v>155</v>
      </c>
      <c r="D49" s="189" t="s">
        <v>275</v>
      </c>
    </row>
    <row r="50" spans="2:6">
      <c r="B50" s="60" t="s">
        <v>276</v>
      </c>
      <c r="C50" s="56">
        <v>44398457</v>
      </c>
      <c r="D50" s="56">
        <v>43341893</v>
      </c>
      <c r="F50" s="24"/>
    </row>
    <row r="51" spans="2:6">
      <c r="B51" s="60" t="s">
        <v>324</v>
      </c>
      <c r="C51" s="56">
        <v>3488432</v>
      </c>
      <c r="D51" s="56">
        <v>7496698</v>
      </c>
      <c r="F51" s="24"/>
    </row>
    <row r="52" spans="2:6">
      <c r="B52" s="60" t="s">
        <v>663</v>
      </c>
      <c r="C52" s="56">
        <v>44310000</v>
      </c>
      <c r="D52" s="56">
        <v>41406000</v>
      </c>
      <c r="F52" s="24"/>
    </row>
    <row r="53" spans="2:6">
      <c r="B53" s="60" t="s">
        <v>277</v>
      </c>
      <c r="C53" s="56">
        <v>0</v>
      </c>
      <c r="D53" s="56">
        <v>0</v>
      </c>
      <c r="F53" s="24"/>
    </row>
    <row r="54" spans="2:6">
      <c r="B54" s="60" t="s">
        <v>278</v>
      </c>
      <c r="C54" s="56">
        <v>6956267</v>
      </c>
      <c r="D54" s="56">
        <v>2641530</v>
      </c>
      <c r="F54" s="24"/>
    </row>
    <row r="55" spans="2:6">
      <c r="B55" s="61" t="s">
        <v>260</v>
      </c>
      <c r="C55" s="62">
        <f>SUM(C50:C54)</f>
        <v>99153156</v>
      </c>
      <c r="D55" s="62">
        <f>SUM(D50:D54)</f>
        <v>94886121</v>
      </c>
      <c r="F55" s="25"/>
    </row>
    <row r="57" spans="2:6">
      <c r="B57" s="231" t="s">
        <v>582</v>
      </c>
    </row>
    <row r="58" spans="2:6" ht="13.5" thickBot="1">
      <c r="B58" s="232" t="s">
        <v>184</v>
      </c>
    </row>
    <row r="59" spans="2:6">
      <c r="B59" s="484" t="s">
        <v>248</v>
      </c>
      <c r="C59" s="240" t="s">
        <v>274</v>
      </c>
      <c r="D59" s="241" t="s">
        <v>279</v>
      </c>
    </row>
    <row r="60" spans="2:6" ht="13.5" thickBot="1">
      <c r="B60" s="485"/>
      <c r="C60" s="242" t="s">
        <v>155</v>
      </c>
      <c r="D60" s="243" t="s">
        <v>275</v>
      </c>
    </row>
    <row r="61" spans="2:6" ht="13.5" thickBot="1">
      <c r="B61" s="233" t="s">
        <v>664</v>
      </c>
      <c r="C61" s="238">
        <v>2396934</v>
      </c>
      <c r="D61" s="238">
        <v>3735058</v>
      </c>
      <c r="F61" s="25"/>
    </row>
    <row r="62" spans="2:6" ht="13.5" thickBot="1">
      <c r="B62" s="233" t="s">
        <v>665</v>
      </c>
      <c r="C62" s="238">
        <v>15561684</v>
      </c>
      <c r="D62" s="238">
        <v>11106758</v>
      </c>
      <c r="F62" s="24"/>
    </row>
    <row r="63" spans="2:6" ht="13.5" thickBot="1">
      <c r="B63" s="233"/>
      <c r="C63" s="238"/>
      <c r="D63" s="234"/>
      <c r="F63" s="25"/>
    </row>
    <row r="64" spans="2:6" ht="13.5" thickBot="1">
      <c r="B64" s="235" t="s">
        <v>260</v>
      </c>
      <c r="C64" s="238">
        <f>SUM(C61:C63)</f>
        <v>17958618</v>
      </c>
      <c r="D64" s="238">
        <f>SUM(D61:D63)</f>
        <v>14841816</v>
      </c>
      <c r="F64" s="25"/>
    </row>
    <row r="65" spans="2:7">
      <c r="B65" s="236"/>
      <c r="C65" s="239"/>
      <c r="D65" s="237"/>
      <c r="F65" s="25"/>
    </row>
    <row r="66" spans="2:7">
      <c r="B66" s="158" t="s">
        <v>280</v>
      </c>
    </row>
    <row r="67" spans="2:7">
      <c r="B67" s="160" t="s">
        <v>184</v>
      </c>
    </row>
    <row r="68" spans="2:7">
      <c r="B68" s="456" t="s">
        <v>248</v>
      </c>
      <c r="C68" s="187" t="s">
        <v>274</v>
      </c>
      <c r="D68" s="189" t="s">
        <v>279</v>
      </c>
    </row>
    <row r="69" spans="2:7">
      <c r="B69" s="456"/>
      <c r="C69" s="187" t="s">
        <v>155</v>
      </c>
      <c r="D69" s="189" t="s">
        <v>275</v>
      </c>
    </row>
    <row r="70" spans="2:7">
      <c r="B70" s="60" t="s">
        <v>281</v>
      </c>
      <c r="C70" s="56">
        <v>419068</v>
      </c>
      <c r="D70" s="56">
        <v>1320000</v>
      </c>
    </row>
    <row r="71" spans="2:7">
      <c r="B71" s="60" t="s">
        <v>291</v>
      </c>
      <c r="C71" s="56">
        <v>5114826</v>
      </c>
      <c r="D71" s="56">
        <v>17988778</v>
      </c>
    </row>
    <row r="72" spans="2:7">
      <c r="B72" s="60" t="s">
        <v>604</v>
      </c>
      <c r="C72" s="56">
        <v>139268183</v>
      </c>
      <c r="D72" s="56">
        <v>177394000</v>
      </c>
    </row>
    <row r="73" spans="2:7">
      <c r="B73" s="60" t="s">
        <v>674</v>
      </c>
      <c r="C73" s="56">
        <v>46324118</v>
      </c>
      <c r="D73" s="56">
        <v>0</v>
      </c>
    </row>
    <row r="74" spans="2:7">
      <c r="B74" s="61" t="s">
        <v>260</v>
      </c>
      <c r="C74" s="62">
        <f>SUM(C70:C73)</f>
        <v>191126195</v>
      </c>
      <c r="D74" s="62">
        <f>SUM(D70:D73)</f>
        <v>196702778</v>
      </c>
    </row>
    <row r="77" spans="2:7">
      <c r="B77" s="158" t="s">
        <v>282</v>
      </c>
    </row>
    <row r="78" spans="2:7">
      <c r="B78" s="160" t="s">
        <v>184</v>
      </c>
      <c r="G78" s="33"/>
    </row>
    <row r="79" spans="2:7">
      <c r="B79" s="456" t="s">
        <v>248</v>
      </c>
      <c r="C79" s="187" t="s">
        <v>274</v>
      </c>
      <c r="D79" s="189" t="s">
        <v>279</v>
      </c>
      <c r="G79" s="33"/>
    </row>
    <row r="80" spans="2:7">
      <c r="B80" s="456"/>
      <c r="C80" s="187" t="s">
        <v>155</v>
      </c>
      <c r="D80" s="189" t="s">
        <v>275</v>
      </c>
      <c r="G80" s="33"/>
    </row>
    <row r="81" spans="2:7">
      <c r="B81" s="57" t="s">
        <v>652</v>
      </c>
      <c r="C81" s="43">
        <v>237362640</v>
      </c>
      <c r="D81" s="43">
        <v>237362640</v>
      </c>
      <c r="E81" s="33"/>
      <c r="G81" s="33"/>
    </row>
    <row r="82" spans="2:7">
      <c r="B82" s="57" t="s">
        <v>283</v>
      </c>
      <c r="C82" s="43">
        <v>39164832</v>
      </c>
      <c r="D82" s="43">
        <v>39164832</v>
      </c>
      <c r="G82" s="33"/>
    </row>
    <row r="83" spans="2:7">
      <c r="B83" s="57" t="s">
        <v>284</v>
      </c>
      <c r="C83" s="43">
        <v>22000000</v>
      </c>
      <c r="D83" s="43">
        <v>23790220</v>
      </c>
      <c r="G83" s="33"/>
    </row>
    <row r="84" spans="2:7">
      <c r="B84" s="57" t="s">
        <v>285</v>
      </c>
      <c r="C84" s="43">
        <v>0</v>
      </c>
      <c r="D84" s="43"/>
      <c r="G84" s="33"/>
    </row>
    <row r="85" spans="2:7">
      <c r="B85" s="57" t="s">
        <v>286</v>
      </c>
      <c r="C85" s="43">
        <v>0</v>
      </c>
      <c r="D85" s="43"/>
    </row>
    <row r="86" spans="2:7">
      <c r="B86" s="57" t="s">
        <v>287</v>
      </c>
      <c r="C86" s="43">
        <v>41818186</v>
      </c>
      <c r="D86" s="43">
        <v>21818184</v>
      </c>
    </row>
    <row r="87" spans="2:7">
      <c r="B87" s="57" t="s">
        <v>288</v>
      </c>
      <c r="C87" s="43">
        <v>304053823</v>
      </c>
      <c r="D87" s="43">
        <v>317872393</v>
      </c>
    </row>
    <row r="88" spans="2:7">
      <c r="B88" s="57" t="s">
        <v>289</v>
      </c>
      <c r="C88" s="43">
        <v>0</v>
      </c>
      <c r="D88" s="43"/>
    </row>
    <row r="89" spans="2:7">
      <c r="B89" s="57" t="s">
        <v>328</v>
      </c>
      <c r="C89" s="43">
        <v>0</v>
      </c>
      <c r="D89" s="43"/>
      <c r="F89" s="36"/>
    </row>
    <row r="90" spans="2:7">
      <c r="B90" s="57" t="s">
        <v>290</v>
      </c>
      <c r="C90" s="43">
        <v>60079573</v>
      </c>
      <c r="D90" s="43">
        <v>55318189</v>
      </c>
    </row>
    <row r="91" spans="2:7">
      <c r="B91" s="57" t="s">
        <v>354</v>
      </c>
      <c r="C91" s="43">
        <v>15872843</v>
      </c>
      <c r="D91" s="43">
        <v>9069699</v>
      </c>
    </row>
    <row r="92" spans="2:7">
      <c r="B92" s="57" t="s">
        <v>292</v>
      </c>
      <c r="C92" s="43">
        <v>2202282</v>
      </c>
      <c r="D92" s="43">
        <v>5004491</v>
      </c>
    </row>
    <row r="93" spans="2:7">
      <c r="B93" s="57" t="s">
        <v>293</v>
      </c>
      <c r="C93" s="43">
        <v>100880</v>
      </c>
      <c r="D93" s="43">
        <v>845117</v>
      </c>
    </row>
    <row r="94" spans="2:7">
      <c r="B94" s="57" t="s">
        <v>294</v>
      </c>
      <c r="C94" s="43">
        <v>5375361</v>
      </c>
      <c r="D94" s="43">
        <v>1395455</v>
      </c>
    </row>
    <row r="95" spans="2:7">
      <c r="B95" s="57" t="s">
        <v>355</v>
      </c>
      <c r="C95" s="43">
        <v>677826</v>
      </c>
      <c r="D95" s="43"/>
    </row>
    <row r="96" spans="2:7">
      <c r="B96" s="57" t="s">
        <v>327</v>
      </c>
      <c r="C96" s="43">
        <v>3363909</v>
      </c>
      <c r="D96" s="43">
        <v>6398120</v>
      </c>
    </row>
    <row r="97" spans="2:6">
      <c r="B97" s="57" t="s">
        <v>295</v>
      </c>
      <c r="C97" s="43">
        <v>0</v>
      </c>
      <c r="D97" s="43">
        <v>1080000</v>
      </c>
    </row>
    <row r="98" spans="2:6">
      <c r="B98" s="57" t="s">
        <v>296</v>
      </c>
      <c r="C98" s="43">
        <v>8178847</v>
      </c>
      <c r="D98" s="43">
        <v>5902274</v>
      </c>
    </row>
    <row r="99" spans="2:6">
      <c r="B99" s="57" t="s">
        <v>297</v>
      </c>
      <c r="C99" s="43">
        <v>0</v>
      </c>
      <c r="D99" s="43"/>
    </row>
    <row r="100" spans="2:6">
      <c r="B100" s="57" t="s">
        <v>298</v>
      </c>
      <c r="C100" s="43">
        <f>1131818+36988989+3239753+80000</f>
        <v>41440560</v>
      </c>
      <c r="D100" s="43">
        <v>46517327</v>
      </c>
    </row>
    <row r="101" spans="2:6">
      <c r="B101" s="57" t="s">
        <v>299</v>
      </c>
      <c r="C101" s="43">
        <v>1454545</v>
      </c>
      <c r="D101" s="43"/>
    </row>
    <row r="102" spans="2:6">
      <c r="B102" s="59" t="s">
        <v>260</v>
      </c>
      <c r="C102" s="63">
        <f>SUM(C81:C101)</f>
        <v>783146107</v>
      </c>
      <c r="D102" s="63">
        <f>SUM(D81:D101)</f>
        <v>771538941</v>
      </c>
      <c r="E102" s="35"/>
      <c r="F102" s="35"/>
    </row>
    <row r="103" spans="2:6">
      <c r="B103" s="26"/>
      <c r="C103" s="18"/>
      <c r="D103" s="18"/>
    </row>
    <row r="104" spans="2:6">
      <c r="B104" s="26"/>
      <c r="C104" s="131"/>
      <c r="D104" s="18"/>
    </row>
    <row r="105" spans="2:6">
      <c r="B105" s="26"/>
      <c r="C105" s="18"/>
      <c r="D105" s="18"/>
    </row>
    <row r="106" spans="2:6">
      <c r="B106" s="26"/>
      <c r="C106" s="18"/>
      <c r="D106" s="18"/>
    </row>
  </sheetData>
  <mergeCells count="9">
    <mergeCell ref="B68:B69"/>
    <mergeCell ref="B79:B80"/>
    <mergeCell ref="B8:E8"/>
    <mergeCell ref="B10:F10"/>
    <mergeCell ref="B23:F23"/>
    <mergeCell ref="B34:B35"/>
    <mergeCell ref="B48:B49"/>
    <mergeCell ref="B25:B26"/>
    <mergeCell ref="B59:B60"/>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B3:F40"/>
  <sheetViews>
    <sheetView showGridLines="0" topLeftCell="A9" zoomScale="102" zoomScaleNormal="102" workbookViewId="0">
      <selection activeCell="D30" sqref="D30"/>
    </sheetView>
  </sheetViews>
  <sheetFormatPr baseColWidth="10" defaultColWidth="10.7109375" defaultRowHeight="15"/>
  <cols>
    <col min="1" max="1" width="4.7109375" customWidth="1"/>
    <col min="2" max="2" width="39.42578125" customWidth="1"/>
    <col min="3" max="3" width="20.5703125" customWidth="1"/>
    <col min="4" max="4" width="23" customWidth="1"/>
    <col min="5" max="5" width="16.28515625" customWidth="1"/>
    <col min="8" max="8" width="16.5703125" customWidth="1"/>
    <col min="9" max="9" width="15.5703125" customWidth="1"/>
  </cols>
  <sheetData>
    <row r="3" spans="2:6">
      <c r="B3" s="478" t="s">
        <v>300</v>
      </c>
      <c r="C3" s="478"/>
      <c r="D3" s="478"/>
      <c r="E3" s="478"/>
      <c r="F3" s="478"/>
    </row>
    <row r="4" spans="2:6">
      <c r="B4" s="471" t="s">
        <v>184</v>
      </c>
      <c r="C4" s="471"/>
      <c r="D4" s="471"/>
      <c r="E4" s="471"/>
      <c r="F4" s="471"/>
    </row>
    <row r="5" spans="2:6">
      <c r="B5" s="166" t="s">
        <v>403</v>
      </c>
      <c r="C5" s="166"/>
      <c r="D5" s="166"/>
      <c r="E5" s="165"/>
      <c r="F5" s="159"/>
    </row>
    <row r="6" spans="2:6">
      <c r="B6" s="145"/>
      <c r="C6" s="145"/>
      <c r="D6" s="145"/>
      <c r="E6" s="46"/>
    </row>
    <row r="7" spans="2:6" ht="25.15" customHeight="1">
      <c r="B7" s="184" t="s">
        <v>248</v>
      </c>
      <c r="C7" s="185" t="s">
        <v>238</v>
      </c>
      <c r="D7" s="185" t="s">
        <v>301</v>
      </c>
    </row>
    <row r="8" spans="2:6">
      <c r="B8" s="146" t="s">
        <v>596</v>
      </c>
      <c r="C8" s="147">
        <v>2303780</v>
      </c>
      <c r="D8" s="147">
        <v>83632573</v>
      </c>
    </row>
    <row r="9" spans="2:6">
      <c r="B9" s="146" t="s">
        <v>597</v>
      </c>
      <c r="C9" s="147">
        <v>27191780</v>
      </c>
      <c r="D9" s="147">
        <v>23847293</v>
      </c>
    </row>
    <row r="10" spans="2:6">
      <c r="B10" s="146" t="s">
        <v>706</v>
      </c>
      <c r="C10" s="147">
        <v>23920574</v>
      </c>
      <c r="D10" s="147">
        <v>50736190</v>
      </c>
    </row>
    <row r="11" spans="2:6">
      <c r="B11" s="146" t="s">
        <v>598</v>
      </c>
      <c r="C11" s="147">
        <v>0</v>
      </c>
      <c r="D11" s="147">
        <v>22605145</v>
      </c>
    </row>
    <row r="12" spans="2:6">
      <c r="B12" s="146" t="s">
        <v>599</v>
      </c>
      <c r="C12" s="147">
        <v>0</v>
      </c>
      <c r="D12" s="147">
        <v>0</v>
      </c>
    </row>
    <row r="13" spans="2:6">
      <c r="B13" s="146"/>
      <c r="C13" s="147">
        <v>0</v>
      </c>
      <c r="D13" s="147"/>
    </row>
    <row r="14" spans="2:6">
      <c r="B14" s="148" t="s">
        <v>302</v>
      </c>
      <c r="C14" s="149">
        <f>SUM(C8:C13)</f>
        <v>53416134</v>
      </c>
      <c r="D14" s="149">
        <f>SUM(D8:D13)</f>
        <v>180821201</v>
      </c>
    </row>
    <row r="15" spans="2:6">
      <c r="B15" s="27"/>
      <c r="C15" s="27"/>
      <c r="D15" s="27"/>
    </row>
    <row r="16" spans="2:6">
      <c r="B16" s="139" t="s">
        <v>380</v>
      </c>
      <c r="C16" s="27"/>
      <c r="D16" s="27"/>
    </row>
    <row r="17" spans="2:6" ht="30">
      <c r="B17" s="184" t="s">
        <v>248</v>
      </c>
      <c r="C17" s="185" t="s">
        <v>238</v>
      </c>
      <c r="D17" s="185" t="s">
        <v>301</v>
      </c>
    </row>
    <row r="18" spans="2:6">
      <c r="B18" s="150" t="s">
        <v>379</v>
      </c>
      <c r="C18" s="151">
        <v>0</v>
      </c>
      <c r="D18" s="151">
        <v>0</v>
      </c>
    </row>
    <row r="19" spans="2:6">
      <c r="B19" s="148" t="s">
        <v>302</v>
      </c>
      <c r="C19" s="152">
        <v>0</v>
      </c>
      <c r="D19" s="152">
        <v>0</v>
      </c>
    </row>
    <row r="21" spans="2:6">
      <c r="B21" s="163" t="s">
        <v>303</v>
      </c>
      <c r="C21" s="159"/>
      <c r="D21" s="159"/>
      <c r="E21" s="159"/>
      <c r="F21" s="159"/>
    </row>
    <row r="22" spans="2:6">
      <c r="B22" s="471" t="s">
        <v>184</v>
      </c>
      <c r="C22" s="471"/>
      <c r="D22" s="471"/>
      <c r="E22" s="471"/>
      <c r="F22" s="471"/>
    </row>
    <row r="24" spans="2:6">
      <c r="B24" s="158" t="s">
        <v>404</v>
      </c>
    </row>
    <row r="25" spans="2:6" ht="30">
      <c r="B25" s="184" t="s">
        <v>248</v>
      </c>
      <c r="C25" s="185" t="s">
        <v>238</v>
      </c>
      <c r="D25" s="185" t="s">
        <v>301</v>
      </c>
    </row>
    <row r="26" spans="2:6">
      <c r="B26" s="47" t="s">
        <v>603</v>
      </c>
      <c r="C26" s="132">
        <v>52256</v>
      </c>
      <c r="D26" s="132">
        <v>676468</v>
      </c>
    </row>
    <row r="27" spans="2:6">
      <c r="B27" s="47" t="s">
        <v>376</v>
      </c>
      <c r="C27" s="132">
        <v>2469001</v>
      </c>
      <c r="D27" s="132">
        <v>26732077</v>
      </c>
    </row>
    <row r="28" spans="2:6">
      <c r="B28" s="253" t="s">
        <v>377</v>
      </c>
      <c r="C28" s="132">
        <v>21439240</v>
      </c>
      <c r="D28" s="132">
        <v>37488028</v>
      </c>
    </row>
    <row r="29" spans="2:6">
      <c r="B29" s="47" t="s">
        <v>666</v>
      </c>
      <c r="C29" s="132">
        <v>0</v>
      </c>
      <c r="D29" s="132">
        <v>0</v>
      </c>
    </row>
    <row r="30" spans="2:6">
      <c r="B30" s="48" t="s">
        <v>302</v>
      </c>
      <c r="C30" s="49">
        <f>SUM(C26:C29)</f>
        <v>23960497</v>
      </c>
      <c r="D30" s="49">
        <f>SUM(D26:D29)</f>
        <v>64896573</v>
      </c>
      <c r="E30" s="13"/>
    </row>
    <row r="32" spans="2:6">
      <c r="B32" s="158" t="s">
        <v>405</v>
      </c>
    </row>
    <row r="33" spans="2:4" ht="25.5">
      <c r="B33" s="186" t="s">
        <v>248</v>
      </c>
      <c r="C33" s="187" t="s">
        <v>238</v>
      </c>
      <c r="D33" s="187" t="s">
        <v>301</v>
      </c>
    </row>
    <row r="34" spans="2:4">
      <c r="B34" s="51" t="s">
        <v>600</v>
      </c>
      <c r="C34" s="52">
        <v>22068495</v>
      </c>
      <c r="D34" s="52">
        <v>12701645</v>
      </c>
    </row>
    <row r="35" spans="2:4">
      <c r="B35" s="51" t="s">
        <v>601</v>
      </c>
      <c r="C35" s="52"/>
      <c r="D35" s="52">
        <v>0</v>
      </c>
    </row>
    <row r="36" spans="2:4">
      <c r="B36" s="51"/>
      <c r="C36" s="53"/>
      <c r="D36" s="53"/>
    </row>
    <row r="37" spans="2:4">
      <c r="B37" s="54" t="s">
        <v>302</v>
      </c>
      <c r="C37" s="55">
        <f>SUM(C34:C36)</f>
        <v>22068495</v>
      </c>
      <c r="D37" s="55">
        <f>SUM(D34:D36)</f>
        <v>12701645</v>
      </c>
    </row>
    <row r="39" spans="2:4">
      <c r="B39" s="158" t="s">
        <v>304</v>
      </c>
    </row>
    <row r="40" spans="2:4">
      <c r="B40" s="160" t="s">
        <v>226</v>
      </c>
    </row>
  </sheetData>
  <mergeCells count="3">
    <mergeCell ref="B3:F3"/>
    <mergeCell ref="B4:F4"/>
    <mergeCell ref="B22:F22"/>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B2:E38"/>
  <sheetViews>
    <sheetView showGridLines="0" zoomScale="99" zoomScaleNormal="99" workbookViewId="0">
      <selection activeCell="D17" sqref="D17"/>
    </sheetView>
  </sheetViews>
  <sheetFormatPr baseColWidth="10" defaultColWidth="10.7109375" defaultRowHeight="15"/>
  <cols>
    <col min="1" max="1" width="5" customWidth="1"/>
    <col min="2" max="2" width="3.28515625" style="98" customWidth="1"/>
    <col min="3" max="3" width="92.42578125" customWidth="1"/>
    <col min="4" max="4" width="42.7109375" bestFit="1" customWidth="1"/>
    <col min="5" max="5" width="14.28515625" customWidth="1"/>
  </cols>
  <sheetData>
    <row r="2" spans="2:5" ht="35.25" customHeight="1">
      <c r="B2" s="12" t="s">
        <v>305</v>
      </c>
      <c r="C2" s="478" t="s">
        <v>306</v>
      </c>
      <c r="D2" s="478"/>
      <c r="E2" s="478"/>
    </row>
    <row r="3" spans="2:5">
      <c r="C3" s="463" t="s">
        <v>307</v>
      </c>
      <c r="D3" s="463"/>
      <c r="E3" s="463"/>
    </row>
    <row r="4" spans="2:5">
      <c r="C4" s="471" t="s">
        <v>381</v>
      </c>
      <c r="D4" s="471"/>
      <c r="E4" s="471"/>
    </row>
    <row r="5" spans="2:5">
      <c r="C5" s="159"/>
      <c r="D5" s="159"/>
      <c r="E5" s="159"/>
    </row>
    <row r="6" spans="2:5">
      <c r="C6" s="463" t="s">
        <v>308</v>
      </c>
      <c r="D6" s="463"/>
      <c r="E6" s="463"/>
    </row>
    <row r="7" spans="2:5">
      <c r="C7" s="471" t="s">
        <v>381</v>
      </c>
      <c r="D7" s="471"/>
      <c r="E7" s="159"/>
    </row>
    <row r="8" spans="2:5" ht="33" customHeight="1">
      <c r="C8" s="478" t="s">
        <v>402</v>
      </c>
      <c r="D8" s="478"/>
      <c r="E8" s="478"/>
    </row>
    <row r="10" spans="2:5">
      <c r="C10" s="487" t="s">
        <v>309</v>
      </c>
      <c r="D10" s="488"/>
    </row>
    <row r="11" spans="2:5">
      <c r="C11" s="320" t="s">
        <v>431</v>
      </c>
      <c r="D11" s="177" t="s">
        <v>432</v>
      </c>
    </row>
    <row r="12" spans="2:5">
      <c r="C12" s="320" t="s">
        <v>433</v>
      </c>
      <c r="D12" s="177">
        <v>1514003173</v>
      </c>
    </row>
    <row r="13" spans="2:5">
      <c r="C13" s="320" t="s">
        <v>434</v>
      </c>
      <c r="D13" s="177" t="s">
        <v>435</v>
      </c>
    </row>
    <row r="14" spans="2:5">
      <c r="C14" s="320" t="s">
        <v>436</v>
      </c>
      <c r="D14" s="177" t="s">
        <v>437</v>
      </c>
    </row>
    <row r="15" spans="2:5">
      <c r="C15" s="320" t="s">
        <v>438</v>
      </c>
      <c r="D15" s="321">
        <v>44987</v>
      </c>
    </row>
    <row r="16" spans="2:5">
      <c r="C16" s="320" t="s">
        <v>439</v>
      </c>
      <c r="D16" s="183">
        <v>44986</v>
      </c>
    </row>
    <row r="17" spans="2:5">
      <c r="C17" s="320" t="s">
        <v>440</v>
      </c>
      <c r="D17" s="183">
        <v>45352</v>
      </c>
    </row>
    <row r="18" spans="2:5">
      <c r="C18" s="320" t="s">
        <v>441</v>
      </c>
      <c r="D18" s="177">
        <v>367</v>
      </c>
    </row>
    <row r="19" spans="2:5">
      <c r="C19" s="320" t="s">
        <v>442</v>
      </c>
      <c r="D19" s="322">
        <v>640000000</v>
      </c>
    </row>
    <row r="21" spans="2:5">
      <c r="B21" s="12" t="s">
        <v>349</v>
      </c>
      <c r="C21" s="162" t="s">
        <v>310</v>
      </c>
      <c r="D21" s="159"/>
      <c r="E21" s="159"/>
    </row>
    <row r="22" spans="2:5" ht="32.25" customHeight="1">
      <c r="C22" s="486" t="s">
        <v>341</v>
      </c>
      <c r="D22" s="486"/>
      <c r="E22" s="486"/>
    </row>
    <row r="23" spans="2:5">
      <c r="C23" s="159"/>
      <c r="D23" s="159"/>
      <c r="E23" s="159"/>
    </row>
    <row r="24" spans="2:5">
      <c r="B24" s="99" t="s">
        <v>311</v>
      </c>
      <c r="C24" s="163" t="s">
        <v>312</v>
      </c>
      <c r="D24" s="159"/>
      <c r="E24" s="159"/>
    </row>
    <row r="25" spans="2:5">
      <c r="C25" s="164" t="s">
        <v>340</v>
      </c>
      <c r="D25" s="159"/>
      <c r="E25" s="159"/>
    </row>
    <row r="26" spans="2:5">
      <c r="C26" s="159"/>
      <c r="D26" s="159"/>
      <c r="E26" s="159"/>
    </row>
    <row r="27" spans="2:5">
      <c r="B27" s="12" t="s">
        <v>350</v>
      </c>
      <c r="C27" s="158" t="s">
        <v>313</v>
      </c>
      <c r="D27" s="159"/>
      <c r="E27" s="159"/>
    </row>
    <row r="28" spans="2:5" ht="25.5">
      <c r="C28" s="160" t="s">
        <v>443</v>
      </c>
      <c r="D28" s="159"/>
      <c r="E28" s="159"/>
    </row>
    <row r="29" spans="2:5">
      <c r="C29" s="159"/>
      <c r="D29" s="159"/>
      <c r="E29" s="159"/>
    </row>
    <row r="30" spans="2:5">
      <c r="B30" s="12" t="s">
        <v>314</v>
      </c>
      <c r="C30" s="165" t="s">
        <v>315</v>
      </c>
      <c r="D30" s="159"/>
      <c r="E30" s="159"/>
    </row>
    <row r="31" spans="2:5">
      <c r="C31" s="160" t="s">
        <v>381</v>
      </c>
      <c r="D31" s="159"/>
      <c r="E31" s="159"/>
    </row>
    <row r="32" spans="2:5">
      <c r="C32" s="159"/>
      <c r="D32" s="159"/>
      <c r="E32" s="159"/>
    </row>
    <row r="33" spans="2:5">
      <c r="B33" s="12" t="s">
        <v>316</v>
      </c>
      <c r="C33" s="158" t="s">
        <v>317</v>
      </c>
      <c r="D33" s="159"/>
      <c r="E33" s="159"/>
    </row>
    <row r="34" spans="2:5">
      <c r="C34" s="164" t="s">
        <v>339</v>
      </c>
      <c r="D34" s="159"/>
      <c r="E34" s="159"/>
    </row>
    <row r="36" spans="2:5">
      <c r="C36" s="134"/>
    </row>
    <row r="37" spans="2:5">
      <c r="C37" s="135"/>
    </row>
    <row r="38" spans="2:5">
      <c r="C38" s="136"/>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3:N211"/>
  <sheetViews>
    <sheetView showGridLines="0" topLeftCell="A88" zoomScale="102" zoomScaleNormal="102" workbookViewId="0">
      <selection activeCell="C214" sqref="C214"/>
    </sheetView>
  </sheetViews>
  <sheetFormatPr baseColWidth="10" defaultColWidth="10.7109375" defaultRowHeight="15"/>
  <cols>
    <col min="1" max="1" width="3.5703125" style="377" bestFit="1" customWidth="1"/>
    <col min="2" max="2" width="43" bestFit="1" customWidth="1"/>
    <col min="3" max="3" width="34.28515625" bestFit="1" customWidth="1"/>
    <col min="4" max="4" width="40.85546875" bestFit="1" customWidth="1"/>
    <col min="5" max="5" width="5" bestFit="1" customWidth="1"/>
    <col min="6" max="6" width="6" bestFit="1" customWidth="1"/>
    <col min="7" max="7" width="9.28515625" bestFit="1" customWidth="1"/>
    <col min="8" max="8" width="9.42578125" bestFit="1" customWidth="1"/>
    <col min="9" max="9" width="9.42578125" style="205" bestFit="1" customWidth="1"/>
    <col min="10" max="10" width="11.7109375" style="182" bestFit="1" customWidth="1"/>
    <col min="11" max="11" width="17.140625" bestFit="1" customWidth="1"/>
    <col min="12" max="12" width="11.85546875" bestFit="1" customWidth="1"/>
    <col min="13" max="13" width="25.7109375" bestFit="1" customWidth="1"/>
    <col min="14" max="14" width="10.7109375" style="34"/>
  </cols>
  <sheetData>
    <row r="3" spans="2:10">
      <c r="B3" s="408" t="s">
        <v>0</v>
      </c>
      <c r="C3" s="409"/>
      <c r="D3" s="409"/>
      <c r="E3" s="409"/>
      <c r="F3" s="409"/>
      <c r="G3" s="409"/>
      <c r="H3" s="409"/>
      <c r="I3" s="409"/>
      <c r="J3" s="409"/>
    </row>
    <row r="4" spans="2:10">
      <c r="B4" s="410" t="s">
        <v>707</v>
      </c>
      <c r="C4" s="410"/>
      <c r="D4" s="410"/>
      <c r="E4" s="410"/>
      <c r="F4" s="410"/>
      <c r="G4" s="410"/>
      <c r="H4" s="410"/>
      <c r="I4" s="410"/>
      <c r="J4" s="410"/>
    </row>
    <row r="5" spans="2:10" ht="6.6" customHeight="1">
      <c r="I5" s="307"/>
    </row>
    <row r="6" spans="2:10">
      <c r="B6" s="154" t="s">
        <v>382</v>
      </c>
      <c r="C6" s="154"/>
      <c r="D6" s="154"/>
      <c r="E6" s="154"/>
      <c r="F6" s="154"/>
      <c r="G6" s="154"/>
      <c r="H6" s="154"/>
      <c r="I6" s="204"/>
      <c r="J6" s="203"/>
    </row>
    <row r="7" spans="2:10" ht="6" customHeight="1">
      <c r="B7" s="179"/>
      <c r="C7" s="179"/>
      <c r="D7" s="179"/>
      <c r="E7" s="179"/>
      <c r="F7" s="179"/>
      <c r="G7" s="179"/>
      <c r="H7" s="179"/>
      <c r="I7" s="308"/>
    </row>
    <row r="8" spans="2:10">
      <c r="B8" s="275" t="s">
        <v>383</v>
      </c>
      <c r="C8" s="275"/>
      <c r="D8" s="275" t="s">
        <v>437</v>
      </c>
      <c r="E8" s="275"/>
      <c r="F8" s="275"/>
      <c r="G8" s="275"/>
      <c r="H8" s="179"/>
      <c r="I8" s="308"/>
    </row>
    <row r="9" spans="2:10">
      <c r="B9" s="275" t="s">
        <v>391</v>
      </c>
      <c r="C9" s="275"/>
      <c r="D9" s="275" t="s">
        <v>454</v>
      </c>
      <c r="E9" s="275"/>
      <c r="F9" s="275"/>
      <c r="G9" s="275"/>
      <c r="H9" s="179"/>
      <c r="I9" s="308"/>
    </row>
    <row r="10" spans="2:10">
      <c r="B10" s="275" t="s">
        <v>384</v>
      </c>
      <c r="C10" s="275"/>
      <c r="D10" s="275" t="s">
        <v>628</v>
      </c>
      <c r="E10" s="275"/>
      <c r="F10" s="275"/>
      <c r="G10" s="275"/>
      <c r="H10" s="179"/>
      <c r="I10" s="308"/>
    </row>
    <row r="11" spans="2:10">
      <c r="B11" s="275" t="s">
        <v>385</v>
      </c>
      <c r="C11" s="275"/>
      <c r="D11" s="276">
        <v>1</v>
      </c>
      <c r="E11" s="275"/>
      <c r="F11" s="275"/>
      <c r="G11" s="275"/>
      <c r="H11" s="275"/>
      <c r="I11" s="308"/>
    </row>
    <row r="12" spans="2:10">
      <c r="B12" s="275" t="s">
        <v>386</v>
      </c>
      <c r="C12" s="275"/>
      <c r="D12" s="202" t="s">
        <v>455</v>
      </c>
      <c r="E12" s="202"/>
      <c r="F12" s="202"/>
      <c r="G12" s="202"/>
      <c r="H12" s="179"/>
      <c r="I12" s="308"/>
    </row>
    <row r="13" spans="2:10">
      <c r="B13" s="275" t="s">
        <v>387</v>
      </c>
      <c r="C13" s="275"/>
      <c r="D13" s="275" t="s">
        <v>456</v>
      </c>
      <c r="E13" s="275"/>
      <c r="F13" s="275"/>
      <c r="G13" s="275"/>
      <c r="H13" s="179"/>
      <c r="I13" s="308"/>
    </row>
    <row r="14" spans="2:10">
      <c r="B14" s="275" t="s">
        <v>388</v>
      </c>
      <c r="C14" s="275"/>
      <c r="D14" s="275" t="s">
        <v>457</v>
      </c>
      <c r="E14" s="275"/>
      <c r="F14" s="275"/>
      <c r="G14" s="275"/>
      <c r="H14" s="179"/>
      <c r="I14" s="308"/>
    </row>
    <row r="15" spans="2:10">
      <c r="B15" s="275" t="s">
        <v>389</v>
      </c>
      <c r="C15" s="275"/>
      <c r="D15" s="275" t="s">
        <v>458</v>
      </c>
      <c r="E15" s="275"/>
      <c r="F15" s="275"/>
      <c r="G15" s="275"/>
      <c r="H15" s="179"/>
      <c r="I15" s="308"/>
    </row>
    <row r="16" spans="2:10">
      <c r="B16" s="275" t="s">
        <v>390</v>
      </c>
      <c r="C16" s="275"/>
      <c r="D16" s="202" t="s">
        <v>455</v>
      </c>
      <c r="E16" s="202"/>
      <c r="F16" s="202"/>
      <c r="G16" s="202"/>
      <c r="H16" s="179"/>
      <c r="I16" s="308"/>
    </row>
    <row r="17" spans="1:14" ht="8.85" customHeight="1">
      <c r="B17" s="179"/>
      <c r="C17" s="179"/>
      <c r="D17" s="179"/>
      <c r="E17" s="179"/>
      <c r="F17" s="179"/>
      <c r="G17" s="179"/>
      <c r="H17" s="179"/>
      <c r="I17" s="308"/>
    </row>
    <row r="18" spans="1:14">
      <c r="B18" s="154" t="s">
        <v>392</v>
      </c>
      <c r="C18" s="154"/>
      <c r="D18" s="154"/>
      <c r="E18" s="154"/>
      <c r="F18" s="154"/>
      <c r="G18" s="154"/>
      <c r="H18" s="154"/>
      <c r="I18" s="204"/>
      <c r="J18" s="203"/>
    </row>
    <row r="19" spans="1:14" ht="8.85" customHeight="1">
      <c r="B19" s="309"/>
      <c r="C19" s="309"/>
      <c r="D19" s="309"/>
      <c r="E19" s="309"/>
      <c r="F19" s="309"/>
      <c r="G19" s="309"/>
      <c r="H19" s="309"/>
      <c r="I19" s="310"/>
    </row>
    <row r="20" spans="1:14" s="258" customFormat="1" ht="29.45" customHeight="1">
      <c r="A20" s="378"/>
      <c r="B20" s="411" t="s">
        <v>619</v>
      </c>
      <c r="C20" s="411"/>
      <c r="D20" s="411"/>
      <c r="E20" s="411"/>
      <c r="F20" s="411"/>
      <c r="G20" s="411"/>
      <c r="H20" s="411"/>
      <c r="I20" s="411"/>
      <c r="J20" s="411"/>
      <c r="K20" s="395"/>
      <c r="N20" s="311"/>
    </row>
    <row r="21" spans="1:14" s="258" customFormat="1" ht="51.6" customHeight="1">
      <c r="A21" s="378"/>
      <c r="B21" s="397" t="s">
        <v>447</v>
      </c>
      <c r="C21" s="397"/>
      <c r="D21" s="397"/>
      <c r="E21" s="397"/>
      <c r="F21" s="397"/>
      <c r="G21" s="397"/>
      <c r="H21" s="397"/>
      <c r="I21" s="397"/>
      <c r="J21" s="397"/>
      <c r="K21" s="395"/>
      <c r="N21" s="311"/>
    </row>
    <row r="22" spans="1:14" s="258" customFormat="1" ht="29.45" customHeight="1">
      <c r="A22" s="378"/>
      <c r="B22" s="397" t="s">
        <v>144</v>
      </c>
      <c r="C22" s="397"/>
      <c r="D22" s="397"/>
      <c r="E22" s="397"/>
      <c r="F22" s="397"/>
      <c r="G22" s="397"/>
      <c r="H22" s="397"/>
      <c r="I22" s="397"/>
      <c r="J22" s="397"/>
      <c r="K22" s="395"/>
      <c r="N22" s="311"/>
    </row>
    <row r="23" spans="1:14" s="258" customFormat="1" ht="48" customHeight="1">
      <c r="A23" s="378"/>
      <c r="B23" s="397" t="s">
        <v>145</v>
      </c>
      <c r="C23" s="397"/>
      <c r="D23" s="397"/>
      <c r="E23" s="397"/>
      <c r="F23" s="397"/>
      <c r="G23" s="397"/>
      <c r="H23" s="397"/>
      <c r="I23" s="397"/>
      <c r="J23" s="397"/>
      <c r="K23" s="395"/>
      <c r="N23" s="311"/>
    </row>
    <row r="24" spans="1:14" ht="38.1" customHeight="1">
      <c r="B24" s="398" t="s">
        <v>468</v>
      </c>
      <c r="C24" s="398"/>
      <c r="D24" s="398"/>
      <c r="E24" s="398"/>
      <c r="F24" s="398"/>
      <c r="G24" s="398"/>
      <c r="H24" s="398"/>
      <c r="I24" s="398"/>
      <c r="J24" s="398"/>
    </row>
    <row r="25" spans="1:14">
      <c r="B25" s="398"/>
      <c r="C25" s="398"/>
      <c r="D25" s="398"/>
      <c r="E25" s="398"/>
      <c r="F25" s="398"/>
      <c r="G25" s="398"/>
      <c r="H25" s="398"/>
      <c r="I25" s="398"/>
      <c r="J25" s="398"/>
    </row>
    <row r="26" spans="1:14">
      <c r="B26" s="398"/>
      <c r="C26" s="398"/>
      <c r="D26" s="398"/>
      <c r="E26" s="398"/>
      <c r="F26" s="398"/>
      <c r="G26" s="398"/>
      <c r="H26" s="398"/>
      <c r="I26" s="398"/>
      <c r="J26" s="398"/>
    </row>
    <row r="27" spans="1:14" ht="28.5" customHeight="1">
      <c r="B27" s="398"/>
      <c r="C27" s="398"/>
      <c r="D27" s="398"/>
      <c r="E27" s="398"/>
      <c r="F27" s="398"/>
      <c r="G27" s="398"/>
      <c r="H27" s="398"/>
      <c r="I27" s="398"/>
      <c r="J27" s="398"/>
    </row>
    <row r="28" spans="1:14" ht="9.6" customHeight="1">
      <c r="B28" s="2"/>
      <c r="C28" s="412"/>
      <c r="D28" s="412"/>
      <c r="E28" s="412"/>
      <c r="F28" s="412"/>
      <c r="G28" s="412"/>
      <c r="H28" s="412"/>
      <c r="I28" s="412"/>
    </row>
    <row r="29" spans="1:14">
      <c r="B29" s="154" t="s">
        <v>393</v>
      </c>
      <c r="C29" s="154"/>
      <c r="D29" s="154"/>
      <c r="E29" s="154"/>
      <c r="F29" s="154"/>
      <c r="G29" s="154"/>
      <c r="H29" s="154"/>
      <c r="I29" s="204"/>
      <c r="J29" s="203"/>
    </row>
    <row r="30" spans="1:14">
      <c r="B30" s="2"/>
      <c r="C30" s="304"/>
    </row>
    <row r="31" spans="1:14">
      <c r="B31" s="400" t="s">
        <v>1</v>
      </c>
      <c r="C31" s="400"/>
      <c r="D31" s="303" t="s">
        <v>2</v>
      </c>
      <c r="E31" s="303"/>
      <c r="F31" s="303"/>
      <c r="G31" s="303"/>
      <c r="H31" s="303"/>
      <c r="I31" s="206"/>
    </row>
    <row r="32" spans="1:14">
      <c r="B32" s="400" t="s">
        <v>394</v>
      </c>
      <c r="C32" s="400"/>
      <c r="D32" s="400"/>
      <c r="E32" s="303"/>
      <c r="F32" s="303"/>
      <c r="G32" s="303"/>
      <c r="H32" s="155"/>
      <c r="I32" s="207"/>
    </row>
    <row r="33" spans="2:10" ht="14.85" customHeight="1">
      <c r="B33" s="393" t="s">
        <v>395</v>
      </c>
      <c r="C33" s="393"/>
      <c r="D33" s="398" t="s">
        <v>459</v>
      </c>
      <c r="E33" s="398"/>
      <c r="F33" s="398"/>
      <c r="G33" s="398"/>
      <c r="H33" s="398"/>
      <c r="I33" s="398"/>
    </row>
    <row r="34" spans="2:10" ht="14.85" customHeight="1">
      <c r="B34" s="393" t="s">
        <v>396</v>
      </c>
      <c r="C34" s="393"/>
      <c r="D34" s="398" t="s">
        <v>460</v>
      </c>
      <c r="E34" s="398"/>
      <c r="F34" s="398"/>
      <c r="G34" s="398"/>
      <c r="H34" s="398"/>
      <c r="I34" s="398"/>
    </row>
    <row r="35" spans="2:10" ht="14.85" customHeight="1">
      <c r="B35" s="393" t="s">
        <v>462</v>
      </c>
      <c r="C35" s="393"/>
      <c r="D35" s="398" t="s">
        <v>461</v>
      </c>
      <c r="E35" s="398"/>
      <c r="F35" s="398"/>
      <c r="G35" s="398"/>
      <c r="H35" s="398"/>
      <c r="I35" s="398"/>
    </row>
    <row r="36" spans="2:10" ht="14.85" customHeight="1">
      <c r="B36" s="393" t="s">
        <v>463</v>
      </c>
      <c r="C36" s="393"/>
      <c r="D36" s="305" t="s">
        <v>464</v>
      </c>
      <c r="E36" s="305"/>
      <c r="F36" s="305"/>
      <c r="G36" s="305"/>
      <c r="H36" s="305"/>
      <c r="I36" s="208"/>
    </row>
    <row r="37" spans="2:10" ht="14.85" customHeight="1">
      <c r="B37" s="393" t="s">
        <v>463</v>
      </c>
      <c r="C37" s="401"/>
      <c r="D37" s="305" t="s">
        <v>720</v>
      </c>
      <c r="E37" s="305"/>
      <c r="F37" s="305"/>
      <c r="G37" s="305"/>
      <c r="H37" s="305"/>
      <c r="I37" s="208"/>
    </row>
    <row r="38" spans="2:10" ht="6.6" customHeight="1">
      <c r="B38" s="306"/>
      <c r="C38" s="306"/>
      <c r="D38" s="305"/>
      <c r="E38" s="305"/>
      <c r="F38" s="305"/>
      <c r="G38" s="305"/>
      <c r="H38" s="305"/>
      <c r="I38" s="208"/>
    </row>
    <row r="39" spans="2:10" ht="16.350000000000001" customHeight="1">
      <c r="B39" s="400" t="s">
        <v>371</v>
      </c>
      <c r="C39" s="400"/>
      <c r="D39" s="398" t="s">
        <v>465</v>
      </c>
      <c r="E39" s="398"/>
      <c r="F39" s="398"/>
      <c r="G39" s="398"/>
      <c r="H39" s="398"/>
      <c r="I39" s="208"/>
    </row>
    <row r="40" spans="2:10" ht="16.350000000000001" customHeight="1">
      <c r="B40" s="400" t="s">
        <v>466</v>
      </c>
      <c r="C40" s="400"/>
      <c r="D40" s="398" t="s">
        <v>467</v>
      </c>
      <c r="E40" s="398"/>
      <c r="F40" s="398"/>
      <c r="G40" s="398"/>
      <c r="H40" s="398"/>
      <c r="I40" s="208"/>
    </row>
    <row r="41" spans="2:10" ht="6.6" customHeight="1">
      <c r="B41" s="306"/>
      <c r="C41" s="306"/>
      <c r="D41" s="305"/>
      <c r="E41" s="305"/>
      <c r="F41" s="305"/>
      <c r="G41" s="305"/>
      <c r="H41" s="305"/>
      <c r="I41" s="208"/>
    </row>
    <row r="42" spans="2:10" ht="14.85" customHeight="1">
      <c r="B42" s="400" t="s">
        <v>397</v>
      </c>
      <c r="C42" s="400"/>
      <c r="D42" s="156"/>
      <c r="E42" s="156"/>
      <c r="F42" s="156"/>
      <c r="G42" s="156"/>
      <c r="H42" s="156"/>
      <c r="I42" s="209"/>
    </row>
    <row r="43" spans="2:10" ht="14.85" customHeight="1">
      <c r="B43" s="393" t="s">
        <v>3</v>
      </c>
      <c r="C43" s="393"/>
      <c r="D43" s="398" t="s">
        <v>459</v>
      </c>
      <c r="E43" s="398"/>
      <c r="F43" s="398"/>
      <c r="G43" s="398"/>
      <c r="H43" s="398"/>
      <c r="I43" s="398"/>
    </row>
    <row r="44" spans="2:10" ht="14.85" customHeight="1">
      <c r="B44" s="393" t="s">
        <v>4</v>
      </c>
      <c r="C44" s="393"/>
      <c r="D44" s="398" t="s">
        <v>460</v>
      </c>
      <c r="E44" s="398"/>
      <c r="F44" s="398"/>
      <c r="G44" s="398"/>
      <c r="H44" s="398"/>
      <c r="I44" s="398"/>
    </row>
    <row r="45" spans="2:10" ht="14.85" customHeight="1">
      <c r="B45" s="393" t="s">
        <v>398</v>
      </c>
      <c r="C45" s="393"/>
      <c r="D45" s="306" t="s">
        <v>487</v>
      </c>
      <c r="E45" s="306"/>
      <c r="F45" s="306"/>
      <c r="G45" s="306"/>
      <c r="H45" s="156"/>
      <c r="I45" s="209"/>
    </row>
    <row r="46" spans="2:10" ht="14.85" customHeight="1">
      <c r="B46" s="393" t="s">
        <v>399</v>
      </c>
      <c r="C46" s="393"/>
      <c r="D46" s="306" t="s">
        <v>400</v>
      </c>
      <c r="E46" s="306"/>
      <c r="F46" s="306"/>
      <c r="G46" s="306"/>
      <c r="H46" s="156"/>
      <c r="I46" s="209"/>
    </row>
    <row r="47" spans="2:10" ht="15.75">
      <c r="B47" s="157"/>
      <c r="C47" s="157"/>
      <c r="D47" s="156"/>
      <c r="E47" s="156"/>
      <c r="F47" s="156"/>
      <c r="G47" s="156"/>
      <c r="H47" s="156"/>
      <c r="I47" s="209"/>
    </row>
    <row r="48" spans="2:10">
      <c r="B48" s="154" t="s">
        <v>401</v>
      </c>
      <c r="C48" s="154"/>
      <c r="D48" s="154"/>
      <c r="E48" s="154"/>
      <c r="F48" s="154"/>
      <c r="G48" s="154"/>
      <c r="H48" s="154"/>
      <c r="I48" s="204"/>
      <c r="J48" s="203"/>
    </row>
    <row r="49" spans="1:14" ht="14.85" customHeight="1">
      <c r="B49" s="399" t="s">
        <v>539</v>
      </c>
      <c r="C49" s="399"/>
      <c r="D49" s="399"/>
      <c r="E49" s="399"/>
      <c r="F49" s="399"/>
      <c r="G49" s="399"/>
      <c r="H49" s="399"/>
      <c r="I49" s="399"/>
      <c r="J49" s="399"/>
    </row>
    <row r="50" spans="1:14">
      <c r="B50" s="399"/>
      <c r="C50" s="399"/>
      <c r="D50" s="399"/>
      <c r="E50" s="399"/>
      <c r="F50" s="399"/>
      <c r="G50" s="399"/>
      <c r="H50" s="399"/>
      <c r="I50" s="399"/>
      <c r="J50" s="399"/>
    </row>
    <row r="51" spans="1:14">
      <c r="B51" s="399"/>
      <c r="C51" s="399"/>
      <c r="D51" s="399"/>
      <c r="E51" s="399"/>
      <c r="F51" s="399"/>
      <c r="G51" s="399"/>
      <c r="H51" s="399"/>
      <c r="I51" s="399"/>
      <c r="J51" s="399"/>
    </row>
    <row r="52" spans="1:14" ht="16.350000000000001" customHeight="1">
      <c r="B52" s="399"/>
      <c r="C52" s="399"/>
      <c r="D52" s="399"/>
      <c r="E52" s="399"/>
      <c r="F52" s="399"/>
      <c r="G52" s="399"/>
      <c r="H52" s="399"/>
      <c r="I52" s="399"/>
      <c r="J52" s="399"/>
    </row>
    <row r="53" spans="1:14">
      <c r="B53" s="402" t="s">
        <v>362</v>
      </c>
      <c r="C53" s="403"/>
      <c r="D53" s="178">
        <v>6500000000</v>
      </c>
      <c r="E53" s="312"/>
      <c r="F53" s="312"/>
      <c r="G53" s="312"/>
    </row>
    <row r="54" spans="1:14">
      <c r="B54" s="402" t="s">
        <v>363</v>
      </c>
      <c r="C54" s="403"/>
      <c r="D54" s="178">
        <v>3542900000</v>
      </c>
      <c r="E54" s="312"/>
      <c r="F54" s="312"/>
      <c r="G54" s="312"/>
    </row>
    <row r="55" spans="1:14">
      <c r="B55" s="402" t="s">
        <v>367</v>
      </c>
      <c r="C55" s="403"/>
      <c r="D55" s="178">
        <f>+D54</f>
        <v>3542900000</v>
      </c>
      <c r="E55" s="312"/>
      <c r="F55" s="312"/>
      <c r="G55" s="312"/>
    </row>
    <row r="56" spans="1:14">
      <c r="B56" s="402" t="s">
        <v>5</v>
      </c>
      <c r="C56" s="404"/>
      <c r="D56" s="178">
        <f>+D53-D55</f>
        <v>2957100000</v>
      </c>
      <c r="E56" s="312"/>
      <c r="F56" s="312"/>
      <c r="G56" s="312"/>
    </row>
    <row r="58" spans="1:14">
      <c r="B58" s="179" t="s">
        <v>419</v>
      </c>
      <c r="C58" s="179"/>
      <c r="D58" s="179"/>
      <c r="E58" s="179"/>
      <c r="F58" s="179"/>
      <c r="G58" s="179"/>
      <c r="H58" s="155"/>
    </row>
    <row r="59" spans="1:14" ht="45">
      <c r="A59" s="379" t="s">
        <v>733</v>
      </c>
      <c r="B59" s="339" t="s">
        <v>734</v>
      </c>
      <c r="C59" s="339" t="s">
        <v>735</v>
      </c>
      <c r="D59" s="339" t="s">
        <v>736</v>
      </c>
      <c r="E59" s="339" t="s">
        <v>469</v>
      </c>
      <c r="F59" s="339" t="s">
        <v>470</v>
      </c>
      <c r="G59" s="339" t="s">
        <v>737</v>
      </c>
      <c r="H59" s="339" t="s">
        <v>738</v>
      </c>
      <c r="I59" s="339" t="s">
        <v>739</v>
      </c>
      <c r="J59" s="339" t="s">
        <v>201</v>
      </c>
      <c r="K59" s="339" t="s">
        <v>740</v>
      </c>
      <c r="L59" s="340" t="s">
        <v>364</v>
      </c>
      <c r="N59"/>
    </row>
    <row r="60" spans="1:14">
      <c r="A60" s="413">
        <v>1</v>
      </c>
      <c r="B60" s="414" t="s">
        <v>471</v>
      </c>
      <c r="C60" s="329" t="s">
        <v>472</v>
      </c>
      <c r="D60" s="330">
        <v>5</v>
      </c>
      <c r="E60" s="331">
        <v>151</v>
      </c>
      <c r="F60" s="330">
        <v>160</v>
      </c>
      <c r="G60" s="331" t="s">
        <v>365</v>
      </c>
      <c r="H60" s="332">
        <v>10</v>
      </c>
      <c r="I60" s="331">
        <v>10</v>
      </c>
      <c r="J60" s="333">
        <v>100000</v>
      </c>
      <c r="K60" s="334">
        <v>1000000</v>
      </c>
      <c r="L60" s="210">
        <f>K60/$K$131</f>
        <v>3.6337209302325581E-3</v>
      </c>
      <c r="N60"/>
    </row>
    <row r="61" spans="1:14">
      <c r="A61" s="413"/>
      <c r="B61" s="414"/>
      <c r="C61" s="335" t="s">
        <v>473</v>
      </c>
      <c r="D61" s="330">
        <v>35</v>
      </c>
      <c r="E61" s="336">
        <v>182</v>
      </c>
      <c r="F61" s="330">
        <v>200</v>
      </c>
      <c r="G61" s="336" t="s">
        <v>365</v>
      </c>
      <c r="H61" s="332">
        <v>19</v>
      </c>
      <c r="I61" s="336">
        <v>19</v>
      </c>
      <c r="J61" s="333">
        <v>100000</v>
      </c>
      <c r="K61" s="337">
        <v>1900000</v>
      </c>
      <c r="L61" s="338">
        <f t="shared" ref="L61:L124" si="0">K61/$K$131</f>
        <v>6.9040697674418606E-3</v>
      </c>
      <c r="N61"/>
    </row>
    <row r="62" spans="1:14">
      <c r="A62" s="413"/>
      <c r="B62" s="414"/>
      <c r="C62" s="335" t="s">
        <v>474</v>
      </c>
      <c r="D62" s="330">
        <v>102</v>
      </c>
      <c r="E62" s="336">
        <v>1</v>
      </c>
      <c r="F62" s="330">
        <v>12</v>
      </c>
      <c r="G62" s="336" t="s">
        <v>365</v>
      </c>
      <c r="H62" s="332">
        <v>12</v>
      </c>
      <c r="I62" s="336">
        <v>12</v>
      </c>
      <c r="J62" s="333">
        <v>100000</v>
      </c>
      <c r="K62" s="337">
        <v>1200000</v>
      </c>
      <c r="L62" s="338">
        <f t="shared" si="0"/>
        <v>4.3604651162790697E-3</v>
      </c>
      <c r="N62"/>
    </row>
    <row r="63" spans="1:14">
      <c r="A63" s="415">
        <v>2</v>
      </c>
      <c r="B63" s="418" t="s">
        <v>477</v>
      </c>
      <c r="C63" s="329" t="s">
        <v>478</v>
      </c>
      <c r="D63" s="341">
        <v>33</v>
      </c>
      <c r="E63" s="331">
        <v>103</v>
      </c>
      <c r="F63" s="341">
        <v>200</v>
      </c>
      <c r="G63" s="331" t="s">
        <v>365</v>
      </c>
      <c r="H63" s="342">
        <v>98</v>
      </c>
      <c r="I63" s="331">
        <v>98</v>
      </c>
      <c r="J63" s="343">
        <v>100000</v>
      </c>
      <c r="K63" s="334">
        <v>9800000</v>
      </c>
      <c r="L63" s="210">
        <f t="shared" si="0"/>
        <v>3.5610465116279071E-2</v>
      </c>
      <c r="N63"/>
    </row>
    <row r="64" spans="1:14">
      <c r="A64" s="416"/>
      <c r="B64" s="419"/>
      <c r="C64" s="335" t="s">
        <v>473</v>
      </c>
      <c r="D64" s="330">
        <v>34</v>
      </c>
      <c r="E64" s="336">
        <v>1</v>
      </c>
      <c r="F64" s="330">
        <v>181</v>
      </c>
      <c r="G64" s="336" t="s">
        <v>365</v>
      </c>
      <c r="H64" s="332">
        <v>181</v>
      </c>
      <c r="I64" s="336">
        <v>181</v>
      </c>
      <c r="J64" s="333">
        <v>100000</v>
      </c>
      <c r="K64" s="337">
        <v>18100000</v>
      </c>
      <c r="L64" s="338">
        <f t="shared" si="0"/>
        <v>6.5770348837209308E-2</v>
      </c>
      <c r="N64"/>
    </row>
    <row r="65" spans="1:14">
      <c r="A65" s="416"/>
      <c r="B65" s="419"/>
      <c r="C65" s="335" t="s">
        <v>741</v>
      </c>
      <c r="D65" s="330">
        <v>57</v>
      </c>
      <c r="E65" s="336">
        <v>1</v>
      </c>
      <c r="F65" s="330">
        <v>136</v>
      </c>
      <c r="G65" s="336" t="s">
        <v>365</v>
      </c>
      <c r="H65" s="332">
        <v>136</v>
      </c>
      <c r="I65" s="336">
        <v>136</v>
      </c>
      <c r="J65" s="333">
        <v>100000</v>
      </c>
      <c r="K65" s="337">
        <v>13600000</v>
      </c>
      <c r="L65" s="338">
        <f t="shared" si="0"/>
        <v>4.9418604651162788E-2</v>
      </c>
      <c r="N65"/>
    </row>
    <row r="66" spans="1:14">
      <c r="A66" s="416"/>
      <c r="B66" s="419"/>
      <c r="C66" s="335" t="s">
        <v>525</v>
      </c>
      <c r="D66" s="330">
        <v>71</v>
      </c>
      <c r="E66" s="336">
        <v>200</v>
      </c>
      <c r="F66" s="330">
        <v>200</v>
      </c>
      <c r="G66" s="336" t="s">
        <v>365</v>
      </c>
      <c r="H66" s="332">
        <v>1</v>
      </c>
      <c r="I66" s="336">
        <v>1</v>
      </c>
      <c r="J66" s="333">
        <v>100000</v>
      </c>
      <c r="K66" s="337">
        <v>100000</v>
      </c>
      <c r="L66" s="338">
        <f t="shared" si="0"/>
        <v>3.6337209302325581E-4</v>
      </c>
      <c r="N66"/>
    </row>
    <row r="67" spans="1:14">
      <c r="A67" s="416"/>
      <c r="B67" s="419"/>
      <c r="C67" s="335" t="s">
        <v>531</v>
      </c>
      <c r="D67" s="330">
        <v>88</v>
      </c>
      <c r="E67" s="336">
        <v>54</v>
      </c>
      <c r="F67" s="330">
        <v>143</v>
      </c>
      <c r="G67" s="336" t="s">
        <v>365</v>
      </c>
      <c r="H67" s="332">
        <v>90</v>
      </c>
      <c r="I67" s="336">
        <v>90</v>
      </c>
      <c r="J67" s="333">
        <v>100000</v>
      </c>
      <c r="K67" s="337">
        <v>9000000</v>
      </c>
      <c r="L67" s="338">
        <f t="shared" si="0"/>
        <v>3.2703488372093026E-2</v>
      </c>
      <c r="N67"/>
    </row>
    <row r="68" spans="1:14">
      <c r="A68" s="416"/>
      <c r="B68" s="419"/>
      <c r="C68" s="335" t="s">
        <v>532</v>
      </c>
      <c r="D68" s="330">
        <v>90</v>
      </c>
      <c r="E68" s="336">
        <v>1</v>
      </c>
      <c r="F68" s="330">
        <v>116</v>
      </c>
      <c r="G68" s="336" t="s">
        <v>365</v>
      </c>
      <c r="H68" s="332">
        <v>116</v>
      </c>
      <c r="I68" s="336">
        <v>116</v>
      </c>
      <c r="J68" s="333">
        <v>100000</v>
      </c>
      <c r="K68" s="337">
        <v>11600000</v>
      </c>
      <c r="L68" s="338">
        <f t="shared" si="0"/>
        <v>4.2151162790697673E-2</v>
      </c>
      <c r="N68"/>
    </row>
    <row r="69" spans="1:14">
      <c r="A69" s="417"/>
      <c r="B69" s="420"/>
      <c r="C69" s="344" t="s">
        <v>474</v>
      </c>
      <c r="D69" s="345">
        <v>104</v>
      </c>
      <c r="E69" s="346">
        <v>2421</v>
      </c>
      <c r="F69" s="345">
        <v>2620</v>
      </c>
      <c r="G69" s="346" t="s">
        <v>365</v>
      </c>
      <c r="H69" s="347">
        <v>200</v>
      </c>
      <c r="I69" s="346">
        <v>200</v>
      </c>
      <c r="J69" s="348">
        <v>100000</v>
      </c>
      <c r="K69" s="349">
        <v>20000000</v>
      </c>
      <c r="L69" s="350">
        <f t="shared" si="0"/>
        <v>7.2674418604651167E-2</v>
      </c>
      <c r="N69"/>
    </row>
    <row r="70" spans="1:14">
      <c r="A70" s="421">
        <v>3</v>
      </c>
      <c r="B70" s="423" t="s">
        <v>483</v>
      </c>
      <c r="C70" s="329" t="s">
        <v>484</v>
      </c>
      <c r="D70" s="341">
        <v>20</v>
      </c>
      <c r="E70" s="331">
        <v>191</v>
      </c>
      <c r="F70" s="341">
        <v>200</v>
      </c>
      <c r="G70" s="331" t="s">
        <v>365</v>
      </c>
      <c r="H70" s="342">
        <v>10</v>
      </c>
      <c r="I70" s="331">
        <v>10</v>
      </c>
      <c r="J70" s="343">
        <v>100000</v>
      </c>
      <c r="K70" s="334">
        <v>1000000</v>
      </c>
      <c r="L70" s="338">
        <f t="shared" si="0"/>
        <v>3.6337209302325581E-3</v>
      </c>
      <c r="N70"/>
    </row>
    <row r="71" spans="1:14">
      <c r="A71" s="422"/>
      <c r="B71" s="424"/>
      <c r="C71" s="335" t="s">
        <v>741</v>
      </c>
      <c r="D71" s="330">
        <v>58</v>
      </c>
      <c r="E71" s="336">
        <v>137</v>
      </c>
      <c r="F71" s="330">
        <v>145</v>
      </c>
      <c r="G71" s="336" t="s">
        <v>365</v>
      </c>
      <c r="H71" s="332">
        <v>9</v>
      </c>
      <c r="I71" s="336">
        <v>9</v>
      </c>
      <c r="J71" s="333">
        <v>100000</v>
      </c>
      <c r="K71" s="337">
        <v>900000</v>
      </c>
      <c r="L71" s="338">
        <f t="shared" si="0"/>
        <v>3.2703488372093025E-3</v>
      </c>
      <c r="N71"/>
    </row>
    <row r="72" spans="1:14">
      <c r="A72" s="422"/>
      <c r="B72" s="424"/>
      <c r="C72" s="335" t="s">
        <v>532</v>
      </c>
      <c r="D72" s="330">
        <v>91</v>
      </c>
      <c r="E72" s="336">
        <v>117</v>
      </c>
      <c r="F72" s="330">
        <v>126</v>
      </c>
      <c r="G72" s="336" t="s">
        <v>365</v>
      </c>
      <c r="H72" s="332">
        <v>10</v>
      </c>
      <c r="I72" s="336">
        <v>10</v>
      </c>
      <c r="J72" s="333">
        <v>100000</v>
      </c>
      <c r="K72" s="337">
        <v>1000000</v>
      </c>
      <c r="L72" s="338">
        <f t="shared" si="0"/>
        <v>3.6337209302325581E-3</v>
      </c>
      <c r="N72"/>
    </row>
    <row r="73" spans="1:14">
      <c r="A73" s="422"/>
      <c r="B73" s="425"/>
      <c r="C73" s="344" t="s">
        <v>474</v>
      </c>
      <c r="D73" s="345">
        <v>106</v>
      </c>
      <c r="E73" s="346">
        <v>2622</v>
      </c>
      <c r="F73" s="345">
        <v>2633</v>
      </c>
      <c r="G73" s="346" t="s">
        <v>365</v>
      </c>
      <c r="H73" s="347">
        <v>12</v>
      </c>
      <c r="I73" s="346">
        <v>12</v>
      </c>
      <c r="J73" s="348">
        <v>100000</v>
      </c>
      <c r="K73" s="349">
        <v>1200000</v>
      </c>
      <c r="L73" s="338">
        <f t="shared" si="0"/>
        <v>4.3604651162790697E-3</v>
      </c>
      <c r="N73"/>
    </row>
    <row r="74" spans="1:14">
      <c r="A74" s="421">
        <v>4</v>
      </c>
      <c r="B74" s="423" t="s">
        <v>488</v>
      </c>
      <c r="C74" s="329" t="s">
        <v>489</v>
      </c>
      <c r="D74" s="341">
        <v>15</v>
      </c>
      <c r="E74" s="331">
        <v>181</v>
      </c>
      <c r="F74" s="341">
        <v>190</v>
      </c>
      <c r="G74" s="331" t="s">
        <v>365</v>
      </c>
      <c r="H74" s="342">
        <v>10</v>
      </c>
      <c r="I74" s="331">
        <v>10</v>
      </c>
      <c r="J74" s="343">
        <v>100000</v>
      </c>
      <c r="K74" s="334">
        <v>1000000</v>
      </c>
      <c r="L74" s="210">
        <f t="shared" si="0"/>
        <v>3.6337209302325581E-3</v>
      </c>
      <c r="N74"/>
    </row>
    <row r="75" spans="1:14">
      <c r="A75" s="422"/>
      <c r="B75" s="424"/>
      <c r="C75" s="335" t="s">
        <v>484</v>
      </c>
      <c r="D75" s="330">
        <v>18</v>
      </c>
      <c r="E75" s="336">
        <v>1</v>
      </c>
      <c r="F75" s="330">
        <v>100</v>
      </c>
      <c r="G75" s="336" t="s">
        <v>365</v>
      </c>
      <c r="H75" s="332">
        <v>100</v>
      </c>
      <c r="I75" s="336">
        <v>100</v>
      </c>
      <c r="J75" s="333">
        <v>100000</v>
      </c>
      <c r="K75" s="337">
        <v>10000000</v>
      </c>
      <c r="L75" s="338">
        <f t="shared" si="0"/>
        <v>3.6337209302325583E-2</v>
      </c>
      <c r="N75"/>
    </row>
    <row r="76" spans="1:14">
      <c r="A76" s="422"/>
      <c r="B76" s="424"/>
      <c r="C76" s="335" t="s">
        <v>741</v>
      </c>
      <c r="D76" s="330">
        <v>59</v>
      </c>
      <c r="E76" s="336">
        <v>146</v>
      </c>
      <c r="F76" s="330">
        <v>200</v>
      </c>
      <c r="G76" s="336" t="s">
        <v>365</v>
      </c>
      <c r="H76" s="332">
        <v>55</v>
      </c>
      <c r="I76" s="336">
        <v>55</v>
      </c>
      <c r="J76" s="333">
        <v>100000</v>
      </c>
      <c r="K76" s="337">
        <v>5500000</v>
      </c>
      <c r="L76" s="338">
        <f t="shared" si="0"/>
        <v>1.9985465116279071E-2</v>
      </c>
      <c r="N76"/>
    </row>
    <row r="77" spans="1:14">
      <c r="A77" s="422"/>
      <c r="B77" s="424"/>
      <c r="C77" s="335" t="s">
        <v>524</v>
      </c>
      <c r="D77" s="330">
        <v>60</v>
      </c>
      <c r="E77" s="336">
        <v>1</v>
      </c>
      <c r="F77" s="330">
        <v>62</v>
      </c>
      <c r="G77" s="336" t="s">
        <v>365</v>
      </c>
      <c r="H77" s="332">
        <v>62</v>
      </c>
      <c r="I77" s="336">
        <v>62</v>
      </c>
      <c r="J77" s="333">
        <v>100000</v>
      </c>
      <c r="K77" s="337">
        <v>6200000</v>
      </c>
      <c r="L77" s="338">
        <f t="shared" si="0"/>
        <v>2.2529069767441859E-2</v>
      </c>
      <c r="N77"/>
    </row>
    <row r="78" spans="1:14">
      <c r="A78" s="422"/>
      <c r="B78" s="424"/>
      <c r="C78" s="335" t="s">
        <v>491</v>
      </c>
      <c r="D78" s="330">
        <v>74</v>
      </c>
      <c r="E78" s="336">
        <v>164</v>
      </c>
      <c r="F78" s="330">
        <v>200</v>
      </c>
      <c r="G78" s="336" t="s">
        <v>365</v>
      </c>
      <c r="H78" s="332">
        <v>37</v>
      </c>
      <c r="I78" s="336">
        <v>37</v>
      </c>
      <c r="J78" s="333">
        <v>100000</v>
      </c>
      <c r="K78" s="337">
        <v>3700000</v>
      </c>
      <c r="L78" s="338">
        <f t="shared" si="0"/>
        <v>1.3444767441860465E-2</v>
      </c>
      <c r="N78"/>
    </row>
    <row r="79" spans="1:14">
      <c r="A79" s="422"/>
      <c r="B79" s="424"/>
      <c r="C79" s="335" t="s">
        <v>522</v>
      </c>
      <c r="D79" s="330">
        <v>75</v>
      </c>
      <c r="E79" s="336">
        <v>1</v>
      </c>
      <c r="F79" s="330">
        <v>9</v>
      </c>
      <c r="G79" s="336" t="s">
        <v>365</v>
      </c>
      <c r="H79" s="332">
        <v>9</v>
      </c>
      <c r="I79" s="336">
        <v>9</v>
      </c>
      <c r="J79" s="333">
        <v>100000</v>
      </c>
      <c r="K79" s="337">
        <v>900000</v>
      </c>
      <c r="L79" s="338">
        <f t="shared" si="0"/>
        <v>3.2703488372093025E-3</v>
      </c>
      <c r="N79"/>
    </row>
    <row r="80" spans="1:14">
      <c r="A80" s="422"/>
      <c r="B80" s="424"/>
      <c r="C80" s="335" t="s">
        <v>532</v>
      </c>
      <c r="D80" s="330">
        <v>92</v>
      </c>
      <c r="E80" s="336">
        <v>127</v>
      </c>
      <c r="F80" s="330">
        <v>145</v>
      </c>
      <c r="G80" s="336" t="s">
        <v>365</v>
      </c>
      <c r="H80" s="332">
        <v>19</v>
      </c>
      <c r="I80" s="336">
        <v>19</v>
      </c>
      <c r="J80" s="333">
        <v>100000</v>
      </c>
      <c r="K80" s="337">
        <v>1900000</v>
      </c>
      <c r="L80" s="338">
        <f t="shared" si="0"/>
        <v>6.9040697674418606E-3</v>
      </c>
      <c r="N80"/>
    </row>
    <row r="81" spans="1:14">
      <c r="A81" s="422"/>
      <c r="B81" s="424"/>
      <c r="C81" s="335" t="s">
        <v>492</v>
      </c>
      <c r="D81" s="330">
        <v>95</v>
      </c>
      <c r="E81" s="336">
        <v>1</v>
      </c>
      <c r="F81" s="330">
        <v>33</v>
      </c>
      <c r="G81" s="336" t="s">
        <v>365</v>
      </c>
      <c r="H81" s="332">
        <v>33</v>
      </c>
      <c r="I81" s="336">
        <v>33</v>
      </c>
      <c r="J81" s="333">
        <v>100000</v>
      </c>
      <c r="K81" s="337">
        <v>3300000</v>
      </c>
      <c r="L81" s="338">
        <f t="shared" si="0"/>
        <v>1.1991279069767442E-2</v>
      </c>
      <c r="N81"/>
    </row>
    <row r="82" spans="1:14">
      <c r="A82" s="422"/>
      <c r="B82" s="425"/>
      <c r="C82" s="344" t="s">
        <v>474</v>
      </c>
      <c r="D82" s="345">
        <v>107</v>
      </c>
      <c r="E82" s="346">
        <v>2634</v>
      </c>
      <c r="F82" s="345">
        <v>2761</v>
      </c>
      <c r="G82" s="346" t="s">
        <v>365</v>
      </c>
      <c r="H82" s="347">
        <v>128</v>
      </c>
      <c r="I82" s="346">
        <v>128</v>
      </c>
      <c r="J82" s="348">
        <v>100000</v>
      </c>
      <c r="K82" s="349">
        <v>12800000</v>
      </c>
      <c r="L82" s="350">
        <f t="shared" si="0"/>
        <v>4.6511627906976744E-2</v>
      </c>
      <c r="N82"/>
    </row>
    <row r="83" spans="1:14">
      <c r="A83" s="415">
        <v>5</v>
      </c>
      <c r="B83" s="424" t="s">
        <v>521</v>
      </c>
      <c r="C83" s="335" t="s">
        <v>472</v>
      </c>
      <c r="D83" s="330">
        <v>7</v>
      </c>
      <c r="E83" s="336">
        <v>166</v>
      </c>
      <c r="F83" s="330">
        <v>180</v>
      </c>
      <c r="G83" s="336" t="s">
        <v>365</v>
      </c>
      <c r="H83" s="332">
        <v>15</v>
      </c>
      <c r="I83" s="336">
        <v>15</v>
      </c>
      <c r="J83" s="333">
        <v>100000</v>
      </c>
      <c r="K83" s="337">
        <v>1500000</v>
      </c>
      <c r="L83" s="338">
        <f t="shared" si="0"/>
        <v>5.4505813953488374E-3</v>
      </c>
      <c r="N83"/>
    </row>
    <row r="84" spans="1:14">
      <c r="A84" s="416"/>
      <c r="B84" s="424"/>
      <c r="C84" s="335" t="s">
        <v>489</v>
      </c>
      <c r="D84" s="330">
        <v>17</v>
      </c>
      <c r="E84" s="336">
        <v>200</v>
      </c>
      <c r="F84" s="330">
        <v>200</v>
      </c>
      <c r="G84" s="336" t="s">
        <v>365</v>
      </c>
      <c r="H84" s="332">
        <v>1</v>
      </c>
      <c r="I84" s="336">
        <v>1</v>
      </c>
      <c r="J84" s="333">
        <v>100000</v>
      </c>
      <c r="K84" s="337">
        <v>100000</v>
      </c>
      <c r="L84" s="338">
        <f t="shared" si="0"/>
        <v>3.6337209302325581E-4</v>
      </c>
      <c r="N84"/>
    </row>
    <row r="85" spans="1:14">
      <c r="A85" s="416"/>
      <c r="B85" s="424"/>
      <c r="C85" s="335" t="s">
        <v>522</v>
      </c>
      <c r="D85" s="330">
        <v>78</v>
      </c>
      <c r="E85" s="336">
        <v>184</v>
      </c>
      <c r="F85" s="330">
        <v>200</v>
      </c>
      <c r="G85" s="336" t="s">
        <v>365</v>
      </c>
      <c r="H85" s="332">
        <v>17</v>
      </c>
      <c r="I85" s="336">
        <v>17</v>
      </c>
      <c r="J85" s="333">
        <v>100000</v>
      </c>
      <c r="K85" s="337">
        <v>1700000</v>
      </c>
      <c r="L85" s="338">
        <f t="shared" si="0"/>
        <v>6.1773255813953485E-3</v>
      </c>
      <c r="N85"/>
    </row>
    <row r="86" spans="1:14">
      <c r="A86" s="416"/>
      <c r="B86" s="424"/>
      <c r="C86" s="335" t="s">
        <v>504</v>
      </c>
      <c r="D86" s="330">
        <v>80</v>
      </c>
      <c r="E86" s="336">
        <v>193</v>
      </c>
      <c r="F86" s="330">
        <v>200</v>
      </c>
      <c r="G86" s="336" t="s">
        <v>365</v>
      </c>
      <c r="H86" s="332">
        <v>8</v>
      </c>
      <c r="I86" s="336">
        <v>8</v>
      </c>
      <c r="J86" s="333">
        <v>100000</v>
      </c>
      <c r="K86" s="337">
        <v>800000</v>
      </c>
      <c r="L86" s="338">
        <f t="shared" si="0"/>
        <v>2.9069767441860465E-3</v>
      </c>
      <c r="N86"/>
    </row>
    <row r="87" spans="1:14">
      <c r="A87" s="416"/>
      <c r="B87" s="424"/>
      <c r="C87" s="335" t="s">
        <v>519</v>
      </c>
      <c r="D87" s="330">
        <v>81</v>
      </c>
      <c r="E87" s="336">
        <v>1</v>
      </c>
      <c r="F87" s="330">
        <v>6</v>
      </c>
      <c r="G87" s="336" t="s">
        <v>365</v>
      </c>
      <c r="H87" s="332">
        <v>6</v>
      </c>
      <c r="I87" s="336">
        <v>6</v>
      </c>
      <c r="J87" s="333">
        <v>100000</v>
      </c>
      <c r="K87" s="337">
        <v>600000</v>
      </c>
      <c r="L87" s="338">
        <f t="shared" si="0"/>
        <v>2.1802325581395349E-3</v>
      </c>
      <c r="N87"/>
    </row>
    <row r="88" spans="1:14">
      <c r="A88" s="416"/>
      <c r="B88" s="424"/>
      <c r="C88" s="335" t="s">
        <v>474</v>
      </c>
      <c r="D88" s="330">
        <v>105</v>
      </c>
      <c r="E88" s="336">
        <v>2621</v>
      </c>
      <c r="F88" s="330">
        <v>2621</v>
      </c>
      <c r="G88" s="336" t="s">
        <v>365</v>
      </c>
      <c r="H88" s="332">
        <v>1</v>
      </c>
      <c r="I88" s="336">
        <v>1</v>
      </c>
      <c r="J88" s="333">
        <v>100000</v>
      </c>
      <c r="K88" s="337">
        <v>100000</v>
      </c>
      <c r="L88" s="338">
        <f t="shared" si="0"/>
        <v>3.6337209302325581E-4</v>
      </c>
      <c r="N88"/>
    </row>
    <row r="89" spans="1:14">
      <c r="A89" s="416"/>
      <c r="B89" s="424"/>
      <c r="C89" s="335" t="s">
        <v>474</v>
      </c>
      <c r="D89" s="330">
        <v>108</v>
      </c>
      <c r="E89" s="336">
        <v>2762</v>
      </c>
      <c r="F89" s="330">
        <v>2762</v>
      </c>
      <c r="G89" s="336" t="s">
        <v>365</v>
      </c>
      <c r="H89" s="332">
        <v>1</v>
      </c>
      <c r="I89" s="336">
        <v>1</v>
      </c>
      <c r="J89" s="333">
        <v>100000</v>
      </c>
      <c r="K89" s="337">
        <v>100000</v>
      </c>
      <c r="L89" s="338">
        <f t="shared" si="0"/>
        <v>3.6337209302325581E-4</v>
      </c>
      <c r="N89"/>
    </row>
    <row r="90" spans="1:14">
      <c r="A90" s="417"/>
      <c r="B90" s="424"/>
      <c r="C90" s="335" t="s">
        <v>511</v>
      </c>
      <c r="D90" s="330">
        <v>111</v>
      </c>
      <c r="E90" s="336">
        <v>171</v>
      </c>
      <c r="F90" s="330">
        <v>188</v>
      </c>
      <c r="G90" s="336" t="s">
        <v>365</v>
      </c>
      <c r="H90" s="332">
        <v>18</v>
      </c>
      <c r="I90" s="336">
        <v>18</v>
      </c>
      <c r="J90" s="333">
        <v>100000</v>
      </c>
      <c r="K90" s="337">
        <v>1800000</v>
      </c>
      <c r="L90" s="338">
        <f t="shared" si="0"/>
        <v>6.540697674418605E-3</v>
      </c>
      <c r="N90"/>
    </row>
    <row r="91" spans="1:14">
      <c r="A91" s="415">
        <v>6</v>
      </c>
      <c r="B91" s="423" t="s">
        <v>523</v>
      </c>
      <c r="C91" s="329" t="s">
        <v>472</v>
      </c>
      <c r="D91" s="341">
        <v>9</v>
      </c>
      <c r="E91" s="331">
        <v>196</v>
      </c>
      <c r="F91" s="341">
        <v>197</v>
      </c>
      <c r="G91" s="331" t="s">
        <v>365</v>
      </c>
      <c r="H91" s="342">
        <v>2</v>
      </c>
      <c r="I91" s="351">
        <v>2</v>
      </c>
      <c r="J91" s="343">
        <v>100000</v>
      </c>
      <c r="K91" s="334">
        <v>200000</v>
      </c>
      <c r="L91" s="210">
        <f t="shared" si="0"/>
        <v>7.2674418604651162E-4</v>
      </c>
      <c r="N91"/>
    </row>
    <row r="92" spans="1:14">
      <c r="A92" s="416"/>
      <c r="B92" s="424"/>
      <c r="C92" s="335" t="s">
        <v>496</v>
      </c>
      <c r="D92" s="330">
        <v>25</v>
      </c>
      <c r="E92" s="336">
        <v>51</v>
      </c>
      <c r="F92" s="330">
        <v>191</v>
      </c>
      <c r="G92" s="336" t="s">
        <v>365</v>
      </c>
      <c r="H92" s="332">
        <v>141</v>
      </c>
      <c r="I92" s="352">
        <v>141</v>
      </c>
      <c r="J92" s="333">
        <v>100000</v>
      </c>
      <c r="K92" s="337">
        <v>14100000</v>
      </c>
      <c r="L92" s="338">
        <f t="shared" si="0"/>
        <v>5.1235465116279071E-2</v>
      </c>
      <c r="N92"/>
    </row>
    <row r="93" spans="1:14">
      <c r="A93" s="416"/>
      <c r="B93" s="424"/>
      <c r="C93" s="335" t="s">
        <v>524</v>
      </c>
      <c r="D93" s="330">
        <v>63</v>
      </c>
      <c r="E93" s="336">
        <v>176</v>
      </c>
      <c r="F93" s="330">
        <v>200</v>
      </c>
      <c r="G93" s="336" t="s">
        <v>365</v>
      </c>
      <c r="H93" s="332">
        <v>25</v>
      </c>
      <c r="I93" s="352">
        <v>25</v>
      </c>
      <c r="J93" s="333">
        <v>100000</v>
      </c>
      <c r="K93" s="337">
        <v>2500000</v>
      </c>
      <c r="L93" s="338">
        <f t="shared" si="0"/>
        <v>9.0843023255813959E-3</v>
      </c>
      <c r="N93"/>
    </row>
    <row r="94" spans="1:14">
      <c r="A94" s="416"/>
      <c r="B94" s="424"/>
      <c r="C94" s="335" t="s">
        <v>742</v>
      </c>
      <c r="D94" s="330">
        <v>68</v>
      </c>
      <c r="E94" s="336">
        <v>54</v>
      </c>
      <c r="F94" s="330">
        <v>170</v>
      </c>
      <c r="G94" s="336" t="s">
        <v>365</v>
      </c>
      <c r="H94" s="332">
        <v>117</v>
      </c>
      <c r="I94" s="352">
        <v>117</v>
      </c>
      <c r="J94" s="333">
        <v>100000</v>
      </c>
      <c r="K94" s="337">
        <v>11700000</v>
      </c>
      <c r="L94" s="338">
        <f t="shared" si="0"/>
        <v>4.2514534883720929E-2</v>
      </c>
      <c r="N94"/>
    </row>
    <row r="95" spans="1:14">
      <c r="A95" s="416"/>
      <c r="B95" s="424"/>
      <c r="C95" s="335" t="s">
        <v>492</v>
      </c>
      <c r="D95" s="330">
        <v>96</v>
      </c>
      <c r="E95" s="336">
        <v>34</v>
      </c>
      <c r="F95" s="330">
        <v>173</v>
      </c>
      <c r="G95" s="336" t="s">
        <v>365</v>
      </c>
      <c r="H95" s="332">
        <v>140</v>
      </c>
      <c r="I95" s="352">
        <v>140</v>
      </c>
      <c r="J95" s="333">
        <v>100000</v>
      </c>
      <c r="K95" s="337">
        <v>14000000</v>
      </c>
      <c r="L95" s="338">
        <f t="shared" si="0"/>
        <v>5.0872093023255814E-2</v>
      </c>
      <c r="N95"/>
    </row>
    <row r="96" spans="1:14">
      <c r="A96" s="417"/>
      <c r="B96" s="425"/>
      <c r="C96" s="344" t="s">
        <v>511</v>
      </c>
      <c r="D96" s="345">
        <v>112</v>
      </c>
      <c r="E96" s="346">
        <v>189</v>
      </c>
      <c r="F96" s="345">
        <v>473</v>
      </c>
      <c r="G96" s="346" t="s">
        <v>365</v>
      </c>
      <c r="H96" s="347">
        <v>285</v>
      </c>
      <c r="I96" s="353">
        <v>285</v>
      </c>
      <c r="J96" s="348">
        <v>100000</v>
      </c>
      <c r="K96" s="349">
        <v>28500000</v>
      </c>
      <c r="L96" s="350">
        <f t="shared" si="0"/>
        <v>0.10356104651162791</v>
      </c>
      <c r="N96"/>
    </row>
    <row r="97" spans="1:14">
      <c r="A97" s="415">
        <v>7</v>
      </c>
      <c r="B97" s="424" t="s">
        <v>526</v>
      </c>
      <c r="C97" s="335" t="s">
        <v>495</v>
      </c>
      <c r="D97" s="330">
        <v>23</v>
      </c>
      <c r="E97" s="336">
        <v>171</v>
      </c>
      <c r="F97" s="330">
        <v>200</v>
      </c>
      <c r="G97" s="336" t="s">
        <v>365</v>
      </c>
      <c r="H97" s="332">
        <v>30</v>
      </c>
      <c r="I97" s="336">
        <v>30</v>
      </c>
      <c r="J97" s="333">
        <v>100000</v>
      </c>
      <c r="K97" s="337">
        <v>3000000</v>
      </c>
      <c r="L97" s="338">
        <f t="shared" si="0"/>
        <v>1.0901162790697675E-2</v>
      </c>
      <c r="N97"/>
    </row>
    <row r="98" spans="1:14">
      <c r="A98" s="416"/>
      <c r="B98" s="424"/>
      <c r="C98" s="335" t="s">
        <v>524</v>
      </c>
      <c r="D98" s="330">
        <v>62</v>
      </c>
      <c r="E98" s="336">
        <v>147</v>
      </c>
      <c r="F98" s="330">
        <v>175</v>
      </c>
      <c r="G98" s="336" t="s">
        <v>365</v>
      </c>
      <c r="H98" s="332">
        <v>29</v>
      </c>
      <c r="I98" s="336">
        <v>29</v>
      </c>
      <c r="J98" s="333">
        <v>100000</v>
      </c>
      <c r="K98" s="337">
        <v>2900000</v>
      </c>
      <c r="L98" s="338">
        <f t="shared" si="0"/>
        <v>1.0537790697674418E-2</v>
      </c>
      <c r="N98"/>
    </row>
    <row r="99" spans="1:14">
      <c r="A99" s="416"/>
      <c r="B99" s="424"/>
      <c r="C99" s="335" t="s">
        <v>532</v>
      </c>
      <c r="D99" s="330">
        <v>93</v>
      </c>
      <c r="E99" s="336">
        <v>146</v>
      </c>
      <c r="F99" s="330">
        <v>174</v>
      </c>
      <c r="G99" s="336" t="s">
        <v>365</v>
      </c>
      <c r="H99" s="332">
        <v>29</v>
      </c>
      <c r="I99" s="336">
        <v>29</v>
      </c>
      <c r="J99" s="333">
        <v>100000</v>
      </c>
      <c r="K99" s="337">
        <v>2900000</v>
      </c>
      <c r="L99" s="338">
        <f t="shared" si="0"/>
        <v>1.0537790697674418E-2</v>
      </c>
      <c r="N99"/>
    </row>
    <row r="100" spans="1:14">
      <c r="A100" s="417"/>
      <c r="B100" s="425"/>
      <c r="C100" s="344" t="s">
        <v>511</v>
      </c>
      <c r="D100" s="345">
        <v>113</v>
      </c>
      <c r="E100" s="346">
        <v>474</v>
      </c>
      <c r="F100" s="345">
        <v>508</v>
      </c>
      <c r="G100" s="346" t="s">
        <v>365</v>
      </c>
      <c r="H100" s="347">
        <v>35</v>
      </c>
      <c r="I100" s="346">
        <v>35</v>
      </c>
      <c r="J100" s="348">
        <v>100000</v>
      </c>
      <c r="K100" s="337">
        <v>3500000</v>
      </c>
      <c r="L100" s="338">
        <f t="shared" si="0"/>
        <v>1.2718023255813954E-2</v>
      </c>
      <c r="N100"/>
    </row>
    <row r="101" spans="1:14">
      <c r="A101" s="415">
        <v>8</v>
      </c>
      <c r="B101" s="423" t="s">
        <v>527</v>
      </c>
      <c r="C101" s="329" t="s">
        <v>489</v>
      </c>
      <c r="D101" s="341">
        <v>13</v>
      </c>
      <c r="E101" s="331">
        <v>101</v>
      </c>
      <c r="F101" s="341">
        <v>150</v>
      </c>
      <c r="G101" s="331" t="s">
        <v>365</v>
      </c>
      <c r="H101" s="342">
        <v>50</v>
      </c>
      <c r="I101" s="331">
        <v>50</v>
      </c>
      <c r="J101" s="343">
        <v>100000</v>
      </c>
      <c r="K101" s="334">
        <v>5000000</v>
      </c>
      <c r="L101" s="210">
        <f t="shared" si="0"/>
        <v>1.8168604651162792E-2</v>
      </c>
      <c r="N101"/>
    </row>
    <row r="102" spans="1:14">
      <c r="A102" s="416"/>
      <c r="B102" s="424"/>
      <c r="C102" s="335" t="s">
        <v>495</v>
      </c>
      <c r="D102" s="330">
        <v>21</v>
      </c>
      <c r="E102" s="336">
        <v>1</v>
      </c>
      <c r="F102" s="330">
        <v>100</v>
      </c>
      <c r="G102" s="336" t="s">
        <v>365</v>
      </c>
      <c r="H102" s="332">
        <v>100</v>
      </c>
      <c r="I102" s="336">
        <v>100</v>
      </c>
      <c r="J102" s="333">
        <v>100000</v>
      </c>
      <c r="K102" s="337">
        <v>10000000</v>
      </c>
      <c r="L102" s="338">
        <f t="shared" si="0"/>
        <v>3.6337209302325583E-2</v>
      </c>
      <c r="N102"/>
    </row>
    <row r="103" spans="1:14">
      <c r="A103" s="416"/>
      <c r="B103" s="424"/>
      <c r="C103" s="335" t="s">
        <v>524</v>
      </c>
      <c r="D103" s="330">
        <v>61</v>
      </c>
      <c r="E103" s="336">
        <v>63</v>
      </c>
      <c r="F103" s="330">
        <v>146</v>
      </c>
      <c r="G103" s="336" t="s">
        <v>365</v>
      </c>
      <c r="H103" s="332">
        <v>84</v>
      </c>
      <c r="I103" s="336">
        <v>84</v>
      </c>
      <c r="J103" s="333">
        <v>100000</v>
      </c>
      <c r="K103" s="337">
        <v>8400000</v>
      </c>
      <c r="L103" s="338">
        <f t="shared" si="0"/>
        <v>3.0523255813953487E-2</v>
      </c>
      <c r="N103"/>
    </row>
    <row r="104" spans="1:14">
      <c r="A104" s="416"/>
      <c r="B104" s="424"/>
      <c r="C104" s="335" t="s">
        <v>528</v>
      </c>
      <c r="D104" s="330">
        <v>64</v>
      </c>
      <c r="E104" s="336">
        <v>1</v>
      </c>
      <c r="F104" s="330">
        <v>63</v>
      </c>
      <c r="G104" s="336" t="s">
        <v>365</v>
      </c>
      <c r="H104" s="332">
        <v>63</v>
      </c>
      <c r="I104" s="336">
        <v>63</v>
      </c>
      <c r="J104" s="333">
        <v>100000</v>
      </c>
      <c r="K104" s="337">
        <v>6300000</v>
      </c>
      <c r="L104" s="338">
        <f t="shared" si="0"/>
        <v>2.2892441860465115E-2</v>
      </c>
      <c r="N104"/>
    </row>
    <row r="105" spans="1:14">
      <c r="A105" s="416"/>
      <c r="B105" s="424"/>
      <c r="C105" s="335" t="s">
        <v>525</v>
      </c>
      <c r="D105" s="330">
        <v>67</v>
      </c>
      <c r="E105" s="336">
        <v>51</v>
      </c>
      <c r="F105" s="330">
        <v>53</v>
      </c>
      <c r="G105" s="336" t="s">
        <v>365</v>
      </c>
      <c r="H105" s="332">
        <v>3</v>
      </c>
      <c r="I105" s="336">
        <v>3</v>
      </c>
      <c r="J105" s="333">
        <v>100000</v>
      </c>
      <c r="K105" s="337">
        <v>300000</v>
      </c>
      <c r="L105" s="338">
        <f t="shared" si="0"/>
        <v>1.0901162790697674E-3</v>
      </c>
      <c r="N105"/>
    </row>
    <row r="106" spans="1:14">
      <c r="A106" s="416"/>
      <c r="B106" s="424"/>
      <c r="C106" s="335" t="s">
        <v>522</v>
      </c>
      <c r="D106" s="330">
        <v>76</v>
      </c>
      <c r="E106" s="336">
        <v>10</v>
      </c>
      <c r="F106" s="330">
        <v>100</v>
      </c>
      <c r="G106" s="336" t="s">
        <v>365</v>
      </c>
      <c r="H106" s="332">
        <v>91</v>
      </c>
      <c r="I106" s="336">
        <v>91</v>
      </c>
      <c r="J106" s="333">
        <v>100000</v>
      </c>
      <c r="K106" s="337">
        <v>9100000</v>
      </c>
      <c r="L106" s="338">
        <f t="shared" si="0"/>
        <v>3.3066860465116282E-2</v>
      </c>
      <c r="N106"/>
    </row>
    <row r="107" spans="1:14">
      <c r="A107" s="416"/>
      <c r="B107" s="424"/>
      <c r="C107" s="335" t="s">
        <v>532</v>
      </c>
      <c r="D107" s="330">
        <v>94</v>
      </c>
      <c r="E107" s="336">
        <v>175</v>
      </c>
      <c r="F107" s="330">
        <v>200</v>
      </c>
      <c r="G107" s="336" t="s">
        <v>365</v>
      </c>
      <c r="H107" s="332">
        <v>26</v>
      </c>
      <c r="I107" s="336">
        <v>26</v>
      </c>
      <c r="J107" s="333">
        <v>100000</v>
      </c>
      <c r="K107" s="337">
        <v>2600000</v>
      </c>
      <c r="L107" s="338">
        <f t="shared" si="0"/>
        <v>9.4476744186046506E-3</v>
      </c>
      <c r="N107"/>
    </row>
    <row r="108" spans="1:14">
      <c r="A108" s="416"/>
      <c r="B108" s="424"/>
      <c r="C108" s="335" t="s">
        <v>492</v>
      </c>
      <c r="D108" s="330">
        <v>97</v>
      </c>
      <c r="E108" s="336">
        <v>174</v>
      </c>
      <c r="F108" s="330">
        <v>200</v>
      </c>
      <c r="G108" s="336" t="s">
        <v>365</v>
      </c>
      <c r="H108" s="332">
        <v>27</v>
      </c>
      <c r="I108" s="336">
        <v>27</v>
      </c>
      <c r="J108" s="333">
        <v>100000</v>
      </c>
      <c r="K108" s="337">
        <v>2700000</v>
      </c>
      <c r="L108" s="338">
        <f t="shared" si="0"/>
        <v>9.8110465116279071E-3</v>
      </c>
      <c r="N108"/>
    </row>
    <row r="109" spans="1:14">
      <c r="A109" s="417"/>
      <c r="B109" s="425"/>
      <c r="C109" s="344" t="s">
        <v>511</v>
      </c>
      <c r="D109" s="345">
        <v>114</v>
      </c>
      <c r="E109" s="346">
        <v>509</v>
      </c>
      <c r="F109" s="345">
        <v>682</v>
      </c>
      <c r="G109" s="346" t="s">
        <v>365</v>
      </c>
      <c r="H109" s="347">
        <v>174</v>
      </c>
      <c r="I109" s="346">
        <v>174</v>
      </c>
      <c r="J109" s="348">
        <v>100000</v>
      </c>
      <c r="K109" s="349">
        <v>17400000</v>
      </c>
      <c r="L109" s="350">
        <f t="shared" si="0"/>
        <v>6.3226744186046513E-2</v>
      </c>
      <c r="N109"/>
    </row>
    <row r="110" spans="1:14">
      <c r="A110" s="415">
        <v>9</v>
      </c>
      <c r="B110" s="423" t="s">
        <v>529</v>
      </c>
      <c r="C110" s="354" t="s">
        <v>472</v>
      </c>
      <c r="D110" s="341">
        <v>10</v>
      </c>
      <c r="E110" s="331">
        <v>198</v>
      </c>
      <c r="F110" s="341">
        <v>199</v>
      </c>
      <c r="G110" s="331" t="s">
        <v>365</v>
      </c>
      <c r="H110" s="342">
        <v>2</v>
      </c>
      <c r="I110" s="331">
        <v>2</v>
      </c>
      <c r="J110" s="343">
        <v>100000</v>
      </c>
      <c r="K110" s="337">
        <v>200000</v>
      </c>
      <c r="L110" s="338">
        <f t="shared" si="0"/>
        <v>7.2674418604651162E-4</v>
      </c>
      <c r="N110"/>
    </row>
    <row r="111" spans="1:14">
      <c r="A111" s="416"/>
      <c r="B111" s="424"/>
      <c r="C111" s="355" t="s">
        <v>496</v>
      </c>
      <c r="D111" s="330">
        <v>26</v>
      </c>
      <c r="E111" s="336">
        <v>192</v>
      </c>
      <c r="F111" s="330">
        <v>200</v>
      </c>
      <c r="G111" s="336" t="s">
        <v>365</v>
      </c>
      <c r="H111" s="332">
        <v>9</v>
      </c>
      <c r="I111" s="336">
        <v>9</v>
      </c>
      <c r="J111" s="333">
        <v>100000</v>
      </c>
      <c r="K111" s="337">
        <v>900000</v>
      </c>
      <c r="L111" s="338">
        <f t="shared" si="0"/>
        <v>3.2703488372093025E-3</v>
      </c>
      <c r="N111"/>
    </row>
    <row r="112" spans="1:14">
      <c r="A112" s="416"/>
      <c r="B112" s="424"/>
      <c r="C112" s="355" t="s">
        <v>485</v>
      </c>
      <c r="D112" s="330">
        <v>27</v>
      </c>
      <c r="E112" s="336">
        <v>1</v>
      </c>
      <c r="F112" s="330">
        <v>132</v>
      </c>
      <c r="G112" s="336" t="s">
        <v>365</v>
      </c>
      <c r="H112" s="332">
        <v>132</v>
      </c>
      <c r="I112" s="336">
        <v>132</v>
      </c>
      <c r="J112" s="333">
        <v>100000</v>
      </c>
      <c r="K112" s="337">
        <v>13200000</v>
      </c>
      <c r="L112" s="338">
        <f t="shared" si="0"/>
        <v>4.7965116279069769E-2</v>
      </c>
      <c r="N112"/>
    </row>
    <row r="113" spans="1:14">
      <c r="A113" s="416"/>
      <c r="B113" s="424"/>
      <c r="C113" s="356" t="s">
        <v>528</v>
      </c>
      <c r="D113" s="330">
        <v>65</v>
      </c>
      <c r="E113" s="336">
        <v>64</v>
      </c>
      <c r="F113" s="330">
        <v>200</v>
      </c>
      <c r="G113" s="336" t="s">
        <v>365</v>
      </c>
      <c r="H113" s="332">
        <v>137</v>
      </c>
      <c r="I113" s="336">
        <v>137</v>
      </c>
      <c r="J113" s="333">
        <v>100000</v>
      </c>
      <c r="K113" s="337">
        <v>13700000</v>
      </c>
      <c r="L113" s="338">
        <f t="shared" si="0"/>
        <v>4.9781976744186045E-2</v>
      </c>
      <c r="N113"/>
    </row>
    <row r="114" spans="1:14">
      <c r="A114" s="416"/>
      <c r="B114" s="424"/>
      <c r="C114" s="356" t="s">
        <v>525</v>
      </c>
      <c r="D114" s="330">
        <v>69</v>
      </c>
      <c r="E114" s="336">
        <v>171</v>
      </c>
      <c r="F114" s="330">
        <v>173</v>
      </c>
      <c r="G114" s="336" t="s">
        <v>365</v>
      </c>
      <c r="H114" s="332">
        <v>3</v>
      </c>
      <c r="I114" s="336">
        <v>3</v>
      </c>
      <c r="J114" s="333">
        <v>100000</v>
      </c>
      <c r="K114" s="337">
        <v>300000</v>
      </c>
      <c r="L114" s="338">
        <f t="shared" si="0"/>
        <v>1.0901162790697674E-3</v>
      </c>
      <c r="N114"/>
    </row>
    <row r="115" spans="1:14">
      <c r="A115" s="416"/>
      <c r="B115" s="424"/>
      <c r="C115" s="356" t="s">
        <v>522</v>
      </c>
      <c r="D115" s="330">
        <v>77</v>
      </c>
      <c r="E115" s="336">
        <v>101</v>
      </c>
      <c r="F115" s="330">
        <v>183</v>
      </c>
      <c r="G115" s="336" t="s">
        <v>365</v>
      </c>
      <c r="H115" s="332">
        <v>83</v>
      </c>
      <c r="I115" s="336">
        <v>83</v>
      </c>
      <c r="J115" s="333">
        <v>100000</v>
      </c>
      <c r="K115" s="337">
        <v>8300000</v>
      </c>
      <c r="L115" s="338">
        <f t="shared" si="0"/>
        <v>3.0159883720930234E-2</v>
      </c>
      <c r="N115"/>
    </row>
    <row r="116" spans="1:14">
      <c r="A116" s="416"/>
      <c r="B116" s="424"/>
      <c r="C116" s="356" t="s">
        <v>531</v>
      </c>
      <c r="D116" s="330">
        <v>89</v>
      </c>
      <c r="E116" s="336">
        <v>144</v>
      </c>
      <c r="F116" s="330">
        <v>200</v>
      </c>
      <c r="G116" s="336" t="s">
        <v>365</v>
      </c>
      <c r="H116" s="332">
        <v>57</v>
      </c>
      <c r="I116" s="336">
        <v>57</v>
      </c>
      <c r="J116" s="333">
        <v>100000</v>
      </c>
      <c r="K116" s="337">
        <v>5700000</v>
      </c>
      <c r="L116" s="338">
        <f t="shared" si="0"/>
        <v>2.071220930232558E-2</v>
      </c>
      <c r="N116"/>
    </row>
    <row r="117" spans="1:14">
      <c r="A117" s="417"/>
      <c r="B117" s="425"/>
      <c r="C117" s="357" t="s">
        <v>511</v>
      </c>
      <c r="D117" s="345">
        <v>115</v>
      </c>
      <c r="E117" s="346">
        <v>683</v>
      </c>
      <c r="F117" s="345">
        <v>848</v>
      </c>
      <c r="G117" s="346" t="s">
        <v>365</v>
      </c>
      <c r="H117" s="347">
        <v>166</v>
      </c>
      <c r="I117" s="346">
        <v>166</v>
      </c>
      <c r="J117" s="348">
        <v>100000</v>
      </c>
      <c r="K117" s="337">
        <v>16600000</v>
      </c>
      <c r="L117" s="338">
        <f t="shared" si="0"/>
        <v>6.0319767441860468E-2</v>
      </c>
      <c r="N117"/>
    </row>
    <row r="118" spans="1:14">
      <c r="A118" s="426">
        <v>10</v>
      </c>
      <c r="B118" s="414" t="s">
        <v>530</v>
      </c>
      <c r="C118" s="335" t="s">
        <v>475</v>
      </c>
      <c r="D118" s="330">
        <v>1</v>
      </c>
      <c r="E118" s="336">
        <v>1</v>
      </c>
      <c r="F118" s="330">
        <v>100</v>
      </c>
      <c r="G118" s="336" t="s">
        <v>365</v>
      </c>
      <c r="H118" s="332">
        <v>100</v>
      </c>
      <c r="I118" s="336">
        <v>100</v>
      </c>
      <c r="J118" s="333">
        <v>100000</v>
      </c>
      <c r="K118" s="334">
        <v>10000000</v>
      </c>
      <c r="L118" s="210">
        <f t="shared" si="0"/>
        <v>3.6337209302325583E-2</v>
      </c>
      <c r="N118"/>
    </row>
    <row r="119" spans="1:14">
      <c r="A119" s="427"/>
      <c r="B119" s="414"/>
      <c r="C119" s="335" t="s">
        <v>472</v>
      </c>
      <c r="D119" s="330">
        <v>3</v>
      </c>
      <c r="E119" s="336">
        <v>1</v>
      </c>
      <c r="F119" s="330">
        <v>50</v>
      </c>
      <c r="G119" s="336" t="s">
        <v>365</v>
      </c>
      <c r="H119" s="332">
        <v>50</v>
      </c>
      <c r="I119" s="336">
        <v>50</v>
      </c>
      <c r="J119" s="333">
        <v>100000</v>
      </c>
      <c r="K119" s="337">
        <v>5000000</v>
      </c>
      <c r="L119" s="338">
        <f t="shared" si="0"/>
        <v>1.8168604651162792E-2</v>
      </c>
      <c r="N119"/>
    </row>
    <row r="120" spans="1:14">
      <c r="A120" s="427"/>
      <c r="B120" s="414"/>
      <c r="C120" s="335" t="s">
        <v>525</v>
      </c>
      <c r="D120" s="330">
        <v>66</v>
      </c>
      <c r="E120" s="336">
        <v>1</v>
      </c>
      <c r="F120" s="330">
        <v>50</v>
      </c>
      <c r="G120" s="336" t="s">
        <v>365</v>
      </c>
      <c r="H120" s="332">
        <v>50</v>
      </c>
      <c r="I120" s="336">
        <v>50</v>
      </c>
      <c r="J120" s="333">
        <v>100000</v>
      </c>
      <c r="K120" s="337">
        <v>5000000</v>
      </c>
      <c r="L120" s="338">
        <f t="shared" si="0"/>
        <v>1.8168604651162792E-2</v>
      </c>
      <c r="N120"/>
    </row>
    <row r="121" spans="1:14">
      <c r="A121" s="427"/>
      <c r="B121" s="414"/>
      <c r="C121" s="356" t="s">
        <v>525</v>
      </c>
      <c r="D121" s="330">
        <v>70</v>
      </c>
      <c r="E121" s="336">
        <v>174</v>
      </c>
      <c r="F121" s="330">
        <v>199</v>
      </c>
      <c r="G121" s="336" t="s">
        <v>365</v>
      </c>
      <c r="H121" s="332">
        <v>26</v>
      </c>
      <c r="I121" s="336">
        <v>26</v>
      </c>
      <c r="J121" s="333">
        <v>100000</v>
      </c>
      <c r="K121" s="337">
        <v>2600000</v>
      </c>
      <c r="L121" s="338">
        <f t="shared" si="0"/>
        <v>9.4476744186046506E-3</v>
      </c>
      <c r="N121"/>
    </row>
    <row r="122" spans="1:14">
      <c r="A122" s="427"/>
      <c r="B122" s="414"/>
      <c r="C122" s="356" t="s">
        <v>491</v>
      </c>
      <c r="D122" s="330">
        <v>73</v>
      </c>
      <c r="E122" s="336">
        <v>93</v>
      </c>
      <c r="F122" s="330">
        <v>163</v>
      </c>
      <c r="G122" s="336" t="s">
        <v>365</v>
      </c>
      <c r="H122" s="332">
        <v>71</v>
      </c>
      <c r="I122" s="336">
        <v>71</v>
      </c>
      <c r="J122" s="333">
        <v>100000</v>
      </c>
      <c r="K122" s="337">
        <v>7100000</v>
      </c>
      <c r="L122" s="338">
        <f t="shared" si="0"/>
        <v>2.5799418604651164E-2</v>
      </c>
      <c r="N122"/>
    </row>
    <row r="123" spans="1:14">
      <c r="A123" s="427"/>
      <c r="B123" s="414"/>
      <c r="C123" s="356" t="s">
        <v>519</v>
      </c>
      <c r="D123" s="330">
        <v>82</v>
      </c>
      <c r="E123" s="336">
        <v>7</v>
      </c>
      <c r="F123" s="330">
        <v>100</v>
      </c>
      <c r="G123" s="336" t="s">
        <v>365</v>
      </c>
      <c r="H123" s="332">
        <v>94</v>
      </c>
      <c r="I123" s="336">
        <v>94</v>
      </c>
      <c r="J123" s="333">
        <v>100000</v>
      </c>
      <c r="K123" s="337">
        <v>9400000</v>
      </c>
      <c r="L123" s="338">
        <f t="shared" si="0"/>
        <v>3.4156976744186045E-2</v>
      </c>
      <c r="N123"/>
    </row>
    <row r="124" spans="1:14">
      <c r="A124" s="427"/>
      <c r="B124" s="414"/>
      <c r="C124" s="356" t="s">
        <v>531</v>
      </c>
      <c r="D124" s="330">
        <v>87</v>
      </c>
      <c r="E124" s="336">
        <v>1</v>
      </c>
      <c r="F124" s="330">
        <v>53</v>
      </c>
      <c r="G124" s="336" t="s">
        <v>365</v>
      </c>
      <c r="H124" s="332">
        <v>53</v>
      </c>
      <c r="I124" s="336">
        <v>53</v>
      </c>
      <c r="J124" s="333">
        <v>100000</v>
      </c>
      <c r="K124" s="337">
        <v>5300000</v>
      </c>
      <c r="L124" s="338">
        <f t="shared" si="0"/>
        <v>1.9258720930232558E-2</v>
      </c>
      <c r="N124"/>
    </row>
    <row r="125" spans="1:14">
      <c r="A125" s="428"/>
      <c r="B125" s="414"/>
      <c r="C125" s="355" t="s">
        <v>511</v>
      </c>
      <c r="D125" s="330">
        <v>116</v>
      </c>
      <c r="E125" s="336">
        <v>849</v>
      </c>
      <c r="F125" s="330">
        <v>1048</v>
      </c>
      <c r="G125" s="336" t="s">
        <v>365</v>
      </c>
      <c r="H125" s="332">
        <v>200</v>
      </c>
      <c r="I125" s="336">
        <v>200</v>
      </c>
      <c r="J125" s="333">
        <v>100000</v>
      </c>
      <c r="K125" s="349">
        <v>20000000</v>
      </c>
      <c r="L125" s="350">
        <f t="shared" ref="L125:L187" si="1">K125/$K$131</f>
        <v>7.2674418604651167E-2</v>
      </c>
      <c r="N125"/>
    </row>
    <row r="126" spans="1:14">
      <c r="A126" s="421">
        <v>11</v>
      </c>
      <c r="B126" s="423" t="s">
        <v>537</v>
      </c>
      <c r="C126" s="329" t="s">
        <v>485</v>
      </c>
      <c r="D126" s="341">
        <v>28</v>
      </c>
      <c r="E126" s="331">
        <v>133</v>
      </c>
      <c r="F126" s="341">
        <v>137</v>
      </c>
      <c r="G126" s="331" t="s">
        <v>365</v>
      </c>
      <c r="H126" s="342">
        <v>5</v>
      </c>
      <c r="I126" s="331">
        <v>5</v>
      </c>
      <c r="J126" s="343">
        <v>100000</v>
      </c>
      <c r="K126" s="334">
        <v>500000</v>
      </c>
      <c r="L126" s="338">
        <f t="shared" si="1"/>
        <v>1.816860465116279E-3</v>
      </c>
      <c r="N126"/>
    </row>
    <row r="127" spans="1:14">
      <c r="A127" s="422"/>
      <c r="B127" s="424"/>
      <c r="C127" s="335" t="s">
        <v>490</v>
      </c>
      <c r="D127" s="330">
        <v>30</v>
      </c>
      <c r="E127" s="336">
        <v>1</v>
      </c>
      <c r="F127" s="330">
        <v>200</v>
      </c>
      <c r="G127" s="336" t="s">
        <v>365</v>
      </c>
      <c r="H127" s="332">
        <v>200</v>
      </c>
      <c r="I127" s="336">
        <v>200</v>
      </c>
      <c r="J127" s="333">
        <v>100000</v>
      </c>
      <c r="K127" s="337">
        <v>20000000</v>
      </c>
      <c r="L127" s="338">
        <f t="shared" si="1"/>
        <v>7.2674418604651167E-2</v>
      </c>
      <c r="N127"/>
    </row>
    <row r="128" spans="1:14">
      <c r="A128" s="422"/>
      <c r="B128" s="424"/>
      <c r="C128" s="335" t="s">
        <v>494</v>
      </c>
      <c r="D128" s="330">
        <v>31</v>
      </c>
      <c r="E128" s="336">
        <v>1</v>
      </c>
      <c r="F128" s="330">
        <v>200</v>
      </c>
      <c r="G128" s="336" t="s">
        <v>365</v>
      </c>
      <c r="H128" s="332">
        <v>200</v>
      </c>
      <c r="I128" s="336">
        <v>200</v>
      </c>
      <c r="J128" s="333">
        <v>100000</v>
      </c>
      <c r="K128" s="337">
        <v>20000000</v>
      </c>
      <c r="L128" s="338">
        <f t="shared" si="1"/>
        <v>7.2674418604651167E-2</v>
      </c>
      <c r="N128"/>
    </row>
    <row r="129" spans="1:14">
      <c r="A129" s="422"/>
      <c r="B129" s="424"/>
      <c r="C129" s="335" t="s">
        <v>478</v>
      </c>
      <c r="D129" s="330">
        <v>32</v>
      </c>
      <c r="E129" s="336">
        <v>1</v>
      </c>
      <c r="F129" s="330">
        <v>102</v>
      </c>
      <c r="G129" s="336" t="s">
        <v>365</v>
      </c>
      <c r="H129" s="332">
        <v>102</v>
      </c>
      <c r="I129" s="336">
        <v>102</v>
      </c>
      <c r="J129" s="333">
        <v>100000</v>
      </c>
      <c r="K129" s="337">
        <v>10200000</v>
      </c>
      <c r="L129" s="338">
        <f t="shared" si="1"/>
        <v>3.7063953488372096E-2</v>
      </c>
      <c r="N129"/>
    </row>
    <row r="130" spans="1:14">
      <c r="A130" s="422"/>
      <c r="B130" s="424"/>
      <c r="C130" s="335" t="s">
        <v>503</v>
      </c>
      <c r="D130" s="330">
        <v>36</v>
      </c>
      <c r="E130" s="336">
        <v>1</v>
      </c>
      <c r="F130" s="330">
        <v>200</v>
      </c>
      <c r="G130" s="336" t="s">
        <v>365</v>
      </c>
      <c r="H130" s="332">
        <v>200</v>
      </c>
      <c r="I130" s="336">
        <v>200</v>
      </c>
      <c r="J130" s="333">
        <v>100000</v>
      </c>
      <c r="K130" s="337">
        <v>20000000</v>
      </c>
      <c r="L130" s="338">
        <f t="shared" si="1"/>
        <v>7.2674418604651167E-2</v>
      </c>
      <c r="N130"/>
    </row>
    <row r="131" spans="1:14">
      <c r="A131" s="422"/>
      <c r="B131" s="424"/>
      <c r="C131" s="335" t="s">
        <v>511</v>
      </c>
      <c r="D131" s="330">
        <v>118</v>
      </c>
      <c r="E131" s="336">
        <v>2249</v>
      </c>
      <c r="F131" s="330">
        <v>5000</v>
      </c>
      <c r="G131" s="336" t="s">
        <v>365</v>
      </c>
      <c r="H131" s="332">
        <v>2752</v>
      </c>
      <c r="I131" s="336">
        <v>2752</v>
      </c>
      <c r="J131" s="333">
        <v>100000</v>
      </c>
      <c r="K131" s="337">
        <v>275200000</v>
      </c>
      <c r="L131" s="338">
        <f t="shared" si="1"/>
        <v>1</v>
      </c>
      <c r="N131"/>
    </row>
    <row r="132" spans="1:14">
      <c r="A132" s="422"/>
      <c r="B132" s="425"/>
      <c r="C132" s="344" t="s">
        <v>743</v>
      </c>
      <c r="D132" s="345">
        <v>119</v>
      </c>
      <c r="E132" s="346">
        <v>1</v>
      </c>
      <c r="F132" s="345">
        <v>2873</v>
      </c>
      <c r="G132" s="346" t="s">
        <v>365</v>
      </c>
      <c r="H132" s="347">
        <v>2873</v>
      </c>
      <c r="I132" s="346">
        <v>2873</v>
      </c>
      <c r="J132" s="348">
        <v>100000</v>
      </c>
      <c r="K132" s="349">
        <v>287300000</v>
      </c>
      <c r="L132" s="338">
        <f t="shared" si="1"/>
        <v>1.0439680232558139</v>
      </c>
      <c r="N132"/>
    </row>
    <row r="133" spans="1:14">
      <c r="A133" s="377">
        <v>12</v>
      </c>
      <c r="B133" s="358" t="s">
        <v>744</v>
      </c>
      <c r="C133" s="359" t="s">
        <v>511</v>
      </c>
      <c r="D133" s="360">
        <v>117</v>
      </c>
      <c r="E133" s="361">
        <v>1049</v>
      </c>
      <c r="F133" s="360">
        <v>2248</v>
      </c>
      <c r="G133" s="361" t="s">
        <v>365</v>
      </c>
      <c r="H133" s="362">
        <v>1200</v>
      </c>
      <c r="I133" s="361">
        <v>1200</v>
      </c>
      <c r="J133" s="363">
        <v>100000</v>
      </c>
      <c r="K133" s="364">
        <v>120000000</v>
      </c>
      <c r="L133" s="180">
        <f t="shared" si="1"/>
        <v>0.43604651162790697</v>
      </c>
      <c r="N133"/>
    </row>
    <row r="134" spans="1:14">
      <c r="A134" s="429">
        <v>13</v>
      </c>
      <c r="B134" s="424" t="s">
        <v>745</v>
      </c>
      <c r="C134" s="335" t="s">
        <v>475</v>
      </c>
      <c r="D134" s="330">
        <v>2</v>
      </c>
      <c r="E134" s="336">
        <v>101</v>
      </c>
      <c r="F134" s="330">
        <v>200</v>
      </c>
      <c r="G134" s="336" t="s">
        <v>365</v>
      </c>
      <c r="H134" s="332">
        <v>100</v>
      </c>
      <c r="I134" s="336">
        <v>100</v>
      </c>
      <c r="J134" s="333">
        <v>100000</v>
      </c>
      <c r="K134" s="337">
        <v>10000000</v>
      </c>
      <c r="L134" s="210">
        <f t="shared" si="1"/>
        <v>3.6337209302325583E-2</v>
      </c>
      <c r="N134"/>
    </row>
    <row r="135" spans="1:14">
      <c r="A135" s="429"/>
      <c r="B135" s="424"/>
      <c r="C135" s="335" t="s">
        <v>472</v>
      </c>
      <c r="D135" s="330">
        <v>4</v>
      </c>
      <c r="E135" s="336">
        <v>51</v>
      </c>
      <c r="F135" s="330">
        <v>150</v>
      </c>
      <c r="G135" s="336" t="s">
        <v>365</v>
      </c>
      <c r="H135" s="332">
        <v>100</v>
      </c>
      <c r="I135" s="336">
        <v>100</v>
      </c>
      <c r="J135" s="333">
        <v>100000</v>
      </c>
      <c r="K135" s="337">
        <v>10000000</v>
      </c>
      <c r="L135" s="338">
        <f t="shared" si="1"/>
        <v>3.6337209302325583E-2</v>
      </c>
      <c r="N135"/>
    </row>
    <row r="136" spans="1:14">
      <c r="A136" s="429"/>
      <c r="B136" s="424"/>
      <c r="C136" s="335" t="s">
        <v>472</v>
      </c>
      <c r="D136" s="330">
        <v>6</v>
      </c>
      <c r="E136" s="336">
        <v>161</v>
      </c>
      <c r="F136" s="330">
        <v>165</v>
      </c>
      <c r="G136" s="336" t="s">
        <v>365</v>
      </c>
      <c r="H136" s="332">
        <v>5</v>
      </c>
      <c r="I136" s="336">
        <v>5</v>
      </c>
      <c r="J136" s="333">
        <v>100000</v>
      </c>
      <c r="K136" s="337">
        <v>500000</v>
      </c>
      <c r="L136" s="338">
        <f t="shared" si="1"/>
        <v>1.816860465116279E-3</v>
      </c>
      <c r="N136"/>
    </row>
    <row r="137" spans="1:14">
      <c r="A137" s="429"/>
      <c r="B137" s="424"/>
      <c r="C137" s="335" t="s">
        <v>472</v>
      </c>
      <c r="D137" s="330">
        <v>8</v>
      </c>
      <c r="E137" s="336">
        <v>181</v>
      </c>
      <c r="F137" s="330">
        <v>195</v>
      </c>
      <c r="G137" s="336" t="s">
        <v>365</v>
      </c>
      <c r="H137" s="332">
        <v>15</v>
      </c>
      <c r="I137" s="336">
        <v>15</v>
      </c>
      <c r="J137" s="333">
        <v>100000</v>
      </c>
      <c r="K137" s="337">
        <v>1500000</v>
      </c>
      <c r="L137" s="338">
        <f t="shared" si="1"/>
        <v>5.4505813953488374E-3</v>
      </c>
      <c r="N137"/>
    </row>
    <row r="138" spans="1:14">
      <c r="A138" s="429"/>
      <c r="B138" s="424"/>
      <c r="C138" s="335" t="s">
        <v>472</v>
      </c>
      <c r="D138" s="330">
        <v>11</v>
      </c>
      <c r="E138" s="336">
        <v>200</v>
      </c>
      <c r="F138" s="330">
        <v>200</v>
      </c>
      <c r="G138" s="336" t="s">
        <v>365</v>
      </c>
      <c r="H138" s="332">
        <v>1</v>
      </c>
      <c r="I138" s="336">
        <v>1</v>
      </c>
      <c r="J138" s="333">
        <v>100000</v>
      </c>
      <c r="K138" s="337">
        <v>100000</v>
      </c>
      <c r="L138" s="338">
        <f t="shared" si="1"/>
        <v>3.6337209302325581E-4</v>
      </c>
      <c r="N138"/>
    </row>
    <row r="139" spans="1:14">
      <c r="A139" s="429"/>
      <c r="B139" s="424"/>
      <c r="C139" s="335" t="s">
        <v>489</v>
      </c>
      <c r="D139" s="330">
        <v>12</v>
      </c>
      <c r="E139" s="336">
        <v>1</v>
      </c>
      <c r="F139" s="330">
        <v>100</v>
      </c>
      <c r="G139" s="336" t="s">
        <v>365</v>
      </c>
      <c r="H139" s="332">
        <v>100</v>
      </c>
      <c r="I139" s="336">
        <v>100</v>
      </c>
      <c r="J139" s="333">
        <v>100000</v>
      </c>
      <c r="K139" s="337">
        <v>10000000</v>
      </c>
      <c r="L139" s="338">
        <f t="shared" si="1"/>
        <v>3.6337209302325583E-2</v>
      </c>
      <c r="N139"/>
    </row>
    <row r="140" spans="1:14">
      <c r="A140" s="429"/>
      <c r="B140" s="424"/>
      <c r="C140" s="335" t="s">
        <v>489</v>
      </c>
      <c r="D140" s="330">
        <v>14</v>
      </c>
      <c r="E140" s="336">
        <v>151</v>
      </c>
      <c r="F140" s="330">
        <v>180</v>
      </c>
      <c r="G140" s="336" t="s">
        <v>365</v>
      </c>
      <c r="H140" s="332">
        <v>30</v>
      </c>
      <c r="I140" s="336">
        <v>30</v>
      </c>
      <c r="J140" s="333">
        <v>100000</v>
      </c>
      <c r="K140" s="337">
        <v>3000000</v>
      </c>
      <c r="L140" s="338">
        <f t="shared" si="1"/>
        <v>1.0901162790697675E-2</v>
      </c>
      <c r="N140"/>
    </row>
    <row r="141" spans="1:14">
      <c r="A141" s="429"/>
      <c r="B141" s="424"/>
      <c r="C141" s="335" t="s">
        <v>489</v>
      </c>
      <c r="D141" s="330">
        <v>16</v>
      </c>
      <c r="E141" s="336">
        <v>191</v>
      </c>
      <c r="F141" s="330">
        <v>199</v>
      </c>
      <c r="G141" s="336" t="s">
        <v>365</v>
      </c>
      <c r="H141" s="332">
        <v>9</v>
      </c>
      <c r="I141" s="336">
        <v>9</v>
      </c>
      <c r="J141" s="333">
        <v>100000</v>
      </c>
      <c r="K141" s="337">
        <v>900000</v>
      </c>
      <c r="L141" s="338">
        <f t="shared" si="1"/>
        <v>3.2703488372093025E-3</v>
      </c>
      <c r="N141"/>
    </row>
    <row r="142" spans="1:14">
      <c r="A142" s="429"/>
      <c r="B142" s="424"/>
      <c r="C142" s="335" t="s">
        <v>484</v>
      </c>
      <c r="D142" s="330">
        <v>19</v>
      </c>
      <c r="E142" s="336">
        <v>101</v>
      </c>
      <c r="F142" s="330">
        <v>190</v>
      </c>
      <c r="G142" s="336" t="s">
        <v>365</v>
      </c>
      <c r="H142" s="332">
        <v>90</v>
      </c>
      <c r="I142" s="336">
        <v>90</v>
      </c>
      <c r="J142" s="333">
        <v>100000</v>
      </c>
      <c r="K142" s="337">
        <v>9000000</v>
      </c>
      <c r="L142" s="338">
        <f t="shared" si="1"/>
        <v>3.2703488372093026E-2</v>
      </c>
      <c r="N142"/>
    </row>
    <row r="143" spans="1:14">
      <c r="A143" s="429"/>
      <c r="B143" s="424"/>
      <c r="C143" s="335" t="s">
        <v>495</v>
      </c>
      <c r="D143" s="330">
        <v>22</v>
      </c>
      <c r="E143" s="336">
        <v>101</v>
      </c>
      <c r="F143" s="330">
        <v>170</v>
      </c>
      <c r="G143" s="336" t="s">
        <v>365</v>
      </c>
      <c r="H143" s="332">
        <v>70</v>
      </c>
      <c r="I143" s="336">
        <v>70</v>
      </c>
      <c r="J143" s="333">
        <v>100000</v>
      </c>
      <c r="K143" s="337">
        <v>7000000</v>
      </c>
      <c r="L143" s="338">
        <f t="shared" si="1"/>
        <v>2.5436046511627907E-2</v>
      </c>
      <c r="N143"/>
    </row>
    <row r="144" spans="1:14">
      <c r="A144" s="429"/>
      <c r="B144" s="424"/>
      <c r="C144" s="335" t="s">
        <v>496</v>
      </c>
      <c r="D144" s="330">
        <v>24</v>
      </c>
      <c r="E144" s="336">
        <v>1</v>
      </c>
      <c r="F144" s="330">
        <v>50</v>
      </c>
      <c r="G144" s="336" t="s">
        <v>365</v>
      </c>
      <c r="H144" s="332">
        <v>50</v>
      </c>
      <c r="I144" s="336">
        <v>50</v>
      </c>
      <c r="J144" s="333">
        <v>100000</v>
      </c>
      <c r="K144" s="337">
        <v>5000000</v>
      </c>
      <c r="L144" s="338">
        <f t="shared" si="1"/>
        <v>1.8168604651162792E-2</v>
      </c>
      <c r="N144"/>
    </row>
    <row r="145" spans="1:14">
      <c r="A145" s="429"/>
      <c r="B145" s="424"/>
      <c r="C145" s="335" t="s">
        <v>485</v>
      </c>
      <c r="D145" s="330">
        <v>29</v>
      </c>
      <c r="E145" s="336">
        <v>138</v>
      </c>
      <c r="F145" s="330">
        <v>200</v>
      </c>
      <c r="G145" s="336" t="s">
        <v>365</v>
      </c>
      <c r="H145" s="332">
        <v>63</v>
      </c>
      <c r="I145" s="336">
        <v>63</v>
      </c>
      <c r="J145" s="333">
        <v>100000</v>
      </c>
      <c r="K145" s="337">
        <v>6300000</v>
      </c>
      <c r="L145" s="338">
        <f t="shared" si="1"/>
        <v>2.2892441860465115E-2</v>
      </c>
      <c r="N145"/>
    </row>
    <row r="146" spans="1:14">
      <c r="A146" s="429"/>
      <c r="B146" s="424"/>
      <c r="C146" s="335" t="s">
        <v>481</v>
      </c>
      <c r="D146" s="330">
        <v>37</v>
      </c>
      <c r="E146" s="336">
        <v>1</v>
      </c>
      <c r="F146" s="330">
        <v>200</v>
      </c>
      <c r="G146" s="336" t="s">
        <v>365</v>
      </c>
      <c r="H146" s="332">
        <v>200</v>
      </c>
      <c r="I146" s="336">
        <v>200</v>
      </c>
      <c r="J146" s="333">
        <v>100000</v>
      </c>
      <c r="K146" s="337">
        <v>20000000</v>
      </c>
      <c r="L146" s="338">
        <f t="shared" si="1"/>
        <v>7.2674418604651167E-2</v>
      </c>
      <c r="N146"/>
    </row>
    <row r="147" spans="1:14">
      <c r="A147" s="429"/>
      <c r="B147" s="424"/>
      <c r="C147" s="335" t="s">
        <v>482</v>
      </c>
      <c r="D147" s="330">
        <v>38</v>
      </c>
      <c r="E147" s="336">
        <v>1</v>
      </c>
      <c r="F147" s="330">
        <v>200</v>
      </c>
      <c r="G147" s="336" t="s">
        <v>365</v>
      </c>
      <c r="H147" s="332">
        <v>200</v>
      </c>
      <c r="I147" s="336">
        <v>200</v>
      </c>
      <c r="J147" s="333">
        <v>100000</v>
      </c>
      <c r="K147" s="337">
        <v>20000000</v>
      </c>
      <c r="L147" s="338">
        <f t="shared" si="1"/>
        <v>7.2674418604651167E-2</v>
      </c>
      <c r="N147"/>
    </row>
    <row r="148" spans="1:14">
      <c r="A148" s="429"/>
      <c r="B148" s="424"/>
      <c r="C148" s="335" t="s">
        <v>512</v>
      </c>
      <c r="D148" s="330">
        <v>39</v>
      </c>
      <c r="E148" s="336">
        <v>1</v>
      </c>
      <c r="F148" s="330">
        <v>200</v>
      </c>
      <c r="G148" s="336" t="s">
        <v>365</v>
      </c>
      <c r="H148" s="332">
        <v>200</v>
      </c>
      <c r="I148" s="336">
        <v>200</v>
      </c>
      <c r="J148" s="333">
        <v>100000</v>
      </c>
      <c r="K148" s="337">
        <v>20000000</v>
      </c>
      <c r="L148" s="338">
        <f t="shared" si="1"/>
        <v>7.2674418604651167E-2</v>
      </c>
      <c r="N148"/>
    </row>
    <row r="149" spans="1:14">
      <c r="A149" s="429"/>
      <c r="B149" s="424"/>
      <c r="C149" s="335" t="s">
        <v>513</v>
      </c>
      <c r="D149" s="330">
        <v>40</v>
      </c>
      <c r="E149" s="336">
        <v>1</v>
      </c>
      <c r="F149" s="330">
        <v>200</v>
      </c>
      <c r="G149" s="336" t="s">
        <v>365</v>
      </c>
      <c r="H149" s="332">
        <v>200</v>
      </c>
      <c r="I149" s="336">
        <v>200</v>
      </c>
      <c r="J149" s="333">
        <v>100000</v>
      </c>
      <c r="K149" s="337">
        <v>20000000</v>
      </c>
      <c r="L149" s="338">
        <f t="shared" si="1"/>
        <v>7.2674418604651167E-2</v>
      </c>
      <c r="N149"/>
    </row>
    <row r="150" spans="1:14">
      <c r="A150" s="429"/>
      <c r="B150" s="424"/>
      <c r="C150" s="335" t="s">
        <v>514</v>
      </c>
      <c r="D150" s="330">
        <v>41</v>
      </c>
      <c r="E150" s="336">
        <v>1</v>
      </c>
      <c r="F150" s="330">
        <v>200</v>
      </c>
      <c r="G150" s="336" t="s">
        <v>365</v>
      </c>
      <c r="H150" s="332">
        <v>200</v>
      </c>
      <c r="I150" s="336">
        <v>200</v>
      </c>
      <c r="J150" s="333">
        <v>100000</v>
      </c>
      <c r="K150" s="337">
        <v>20000000</v>
      </c>
      <c r="L150" s="338">
        <f t="shared" si="1"/>
        <v>7.2674418604651167E-2</v>
      </c>
      <c r="N150"/>
    </row>
    <row r="151" spans="1:14">
      <c r="A151" s="429"/>
      <c r="B151" s="424"/>
      <c r="C151" s="335" t="s">
        <v>479</v>
      </c>
      <c r="D151" s="330">
        <v>42</v>
      </c>
      <c r="E151" s="336">
        <v>1</v>
      </c>
      <c r="F151" s="330">
        <v>200</v>
      </c>
      <c r="G151" s="336" t="s">
        <v>365</v>
      </c>
      <c r="H151" s="332">
        <v>200</v>
      </c>
      <c r="I151" s="336">
        <v>200</v>
      </c>
      <c r="J151" s="333">
        <v>100000</v>
      </c>
      <c r="K151" s="337">
        <v>20000000</v>
      </c>
      <c r="L151" s="338">
        <f t="shared" si="1"/>
        <v>7.2674418604651167E-2</v>
      </c>
      <c r="N151"/>
    </row>
    <row r="152" spans="1:14">
      <c r="A152" s="429"/>
      <c r="B152" s="424"/>
      <c r="C152" s="335" t="s">
        <v>515</v>
      </c>
      <c r="D152" s="330">
        <v>43</v>
      </c>
      <c r="E152" s="336">
        <v>1</v>
      </c>
      <c r="F152" s="330">
        <v>200</v>
      </c>
      <c r="G152" s="336" t="s">
        <v>365</v>
      </c>
      <c r="H152" s="332">
        <v>200</v>
      </c>
      <c r="I152" s="336">
        <v>200</v>
      </c>
      <c r="J152" s="333">
        <v>100000</v>
      </c>
      <c r="K152" s="337">
        <v>20000000</v>
      </c>
      <c r="L152" s="338">
        <f t="shared" si="1"/>
        <v>7.2674418604651167E-2</v>
      </c>
      <c r="N152"/>
    </row>
    <row r="153" spans="1:14">
      <c r="A153" s="429"/>
      <c r="B153" s="424"/>
      <c r="C153" s="335" t="s">
        <v>516</v>
      </c>
      <c r="D153" s="330">
        <v>44</v>
      </c>
      <c r="E153" s="336">
        <v>1</v>
      </c>
      <c r="F153" s="330">
        <v>200</v>
      </c>
      <c r="G153" s="336" t="s">
        <v>365</v>
      </c>
      <c r="H153" s="332">
        <v>200</v>
      </c>
      <c r="I153" s="336">
        <v>200</v>
      </c>
      <c r="J153" s="333">
        <v>100000</v>
      </c>
      <c r="K153" s="337">
        <v>20000000</v>
      </c>
      <c r="L153" s="338">
        <f t="shared" si="1"/>
        <v>7.2674418604651167E-2</v>
      </c>
      <c r="N153"/>
    </row>
    <row r="154" spans="1:14">
      <c r="A154" s="429"/>
      <c r="B154" s="424"/>
      <c r="C154" s="335" t="s">
        <v>476</v>
      </c>
      <c r="D154" s="330">
        <v>45</v>
      </c>
      <c r="E154" s="336">
        <v>1</v>
      </c>
      <c r="F154" s="330">
        <v>200</v>
      </c>
      <c r="G154" s="336" t="s">
        <v>365</v>
      </c>
      <c r="H154" s="332">
        <v>200</v>
      </c>
      <c r="I154" s="336">
        <v>200</v>
      </c>
      <c r="J154" s="333">
        <v>100000</v>
      </c>
      <c r="K154" s="337">
        <v>20000000</v>
      </c>
      <c r="L154" s="338">
        <f t="shared" si="1"/>
        <v>7.2674418604651167E-2</v>
      </c>
      <c r="N154"/>
    </row>
    <row r="155" spans="1:14">
      <c r="A155" s="429"/>
      <c r="B155" s="424"/>
      <c r="C155" s="335" t="s">
        <v>517</v>
      </c>
      <c r="D155" s="330">
        <v>46</v>
      </c>
      <c r="E155" s="336">
        <v>1</v>
      </c>
      <c r="F155" s="330">
        <v>200</v>
      </c>
      <c r="G155" s="336" t="s">
        <v>365</v>
      </c>
      <c r="H155" s="332">
        <v>200</v>
      </c>
      <c r="I155" s="336">
        <v>200</v>
      </c>
      <c r="J155" s="333">
        <v>100000</v>
      </c>
      <c r="K155" s="337">
        <v>20000000</v>
      </c>
      <c r="L155" s="338">
        <f t="shared" si="1"/>
        <v>7.2674418604651167E-2</v>
      </c>
      <c r="N155"/>
    </row>
    <row r="156" spans="1:14">
      <c r="A156" s="429"/>
      <c r="B156" s="424"/>
      <c r="C156" s="335" t="s">
        <v>518</v>
      </c>
      <c r="D156" s="330">
        <v>47</v>
      </c>
      <c r="E156" s="336">
        <v>1</v>
      </c>
      <c r="F156" s="330">
        <v>200</v>
      </c>
      <c r="G156" s="336" t="s">
        <v>365</v>
      </c>
      <c r="H156" s="332">
        <v>200</v>
      </c>
      <c r="I156" s="336">
        <v>200</v>
      </c>
      <c r="J156" s="333">
        <v>100000</v>
      </c>
      <c r="K156" s="337">
        <v>20000000</v>
      </c>
      <c r="L156" s="338">
        <f t="shared" si="1"/>
        <v>7.2674418604651167E-2</v>
      </c>
      <c r="N156"/>
    </row>
    <row r="157" spans="1:14">
      <c r="A157" s="429"/>
      <c r="B157" s="424"/>
      <c r="C157" s="335" t="s">
        <v>486</v>
      </c>
      <c r="D157" s="330">
        <v>48</v>
      </c>
      <c r="E157" s="336">
        <v>1</v>
      </c>
      <c r="F157" s="330">
        <v>200</v>
      </c>
      <c r="G157" s="336" t="s">
        <v>365</v>
      </c>
      <c r="H157" s="332">
        <v>200</v>
      </c>
      <c r="I157" s="336">
        <v>200</v>
      </c>
      <c r="J157" s="333">
        <v>100000</v>
      </c>
      <c r="K157" s="337">
        <v>20000000</v>
      </c>
      <c r="L157" s="338">
        <f t="shared" si="1"/>
        <v>7.2674418604651167E-2</v>
      </c>
      <c r="N157"/>
    </row>
    <row r="158" spans="1:14">
      <c r="A158" s="429"/>
      <c r="B158" s="424"/>
      <c r="C158" s="335" t="s">
        <v>493</v>
      </c>
      <c r="D158" s="330">
        <v>49</v>
      </c>
      <c r="E158" s="336">
        <v>1</v>
      </c>
      <c r="F158" s="330">
        <v>200</v>
      </c>
      <c r="G158" s="336" t="s">
        <v>365</v>
      </c>
      <c r="H158" s="332">
        <v>200</v>
      </c>
      <c r="I158" s="336">
        <v>200</v>
      </c>
      <c r="J158" s="333">
        <v>100000</v>
      </c>
      <c r="K158" s="337">
        <v>20000000</v>
      </c>
      <c r="L158" s="338">
        <f t="shared" si="1"/>
        <v>7.2674418604651167E-2</v>
      </c>
      <c r="N158"/>
    </row>
    <row r="159" spans="1:14">
      <c r="A159" s="429"/>
      <c r="B159" s="424"/>
      <c r="C159" s="335" t="s">
        <v>497</v>
      </c>
      <c r="D159" s="330">
        <v>50</v>
      </c>
      <c r="E159" s="336">
        <v>1</v>
      </c>
      <c r="F159" s="330">
        <v>200</v>
      </c>
      <c r="G159" s="336" t="s">
        <v>365</v>
      </c>
      <c r="H159" s="332">
        <v>200</v>
      </c>
      <c r="I159" s="336">
        <v>200</v>
      </c>
      <c r="J159" s="333">
        <v>100000</v>
      </c>
      <c r="K159" s="337">
        <v>20000000</v>
      </c>
      <c r="L159" s="338">
        <f t="shared" si="1"/>
        <v>7.2674418604651167E-2</v>
      </c>
      <c r="N159"/>
    </row>
    <row r="160" spans="1:14">
      <c r="A160" s="429"/>
      <c r="B160" s="424"/>
      <c r="C160" s="335" t="s">
        <v>498</v>
      </c>
      <c r="D160" s="330">
        <v>51</v>
      </c>
      <c r="E160" s="336">
        <v>1</v>
      </c>
      <c r="F160" s="330">
        <v>200</v>
      </c>
      <c r="G160" s="336" t="s">
        <v>365</v>
      </c>
      <c r="H160" s="332">
        <v>200</v>
      </c>
      <c r="I160" s="336">
        <v>200</v>
      </c>
      <c r="J160" s="333">
        <v>100000</v>
      </c>
      <c r="K160" s="337">
        <v>20000000</v>
      </c>
      <c r="L160" s="338">
        <f t="shared" si="1"/>
        <v>7.2674418604651167E-2</v>
      </c>
      <c r="N160"/>
    </row>
    <row r="161" spans="1:14">
      <c r="A161" s="429"/>
      <c r="B161" s="424"/>
      <c r="C161" s="335" t="s">
        <v>499</v>
      </c>
      <c r="D161" s="330">
        <v>52</v>
      </c>
      <c r="E161" s="336">
        <v>1</v>
      </c>
      <c r="F161" s="330">
        <v>200</v>
      </c>
      <c r="G161" s="336" t="s">
        <v>365</v>
      </c>
      <c r="H161" s="332">
        <v>200</v>
      </c>
      <c r="I161" s="336">
        <v>200</v>
      </c>
      <c r="J161" s="333">
        <v>100000</v>
      </c>
      <c r="K161" s="337">
        <v>20000000</v>
      </c>
      <c r="L161" s="338">
        <f t="shared" si="1"/>
        <v>7.2674418604651167E-2</v>
      </c>
      <c r="N161"/>
    </row>
    <row r="162" spans="1:14">
      <c r="A162" s="429"/>
      <c r="B162" s="424"/>
      <c r="C162" s="335" t="s">
        <v>480</v>
      </c>
      <c r="D162" s="330">
        <v>53</v>
      </c>
      <c r="E162" s="336">
        <v>1</v>
      </c>
      <c r="F162" s="330">
        <v>200</v>
      </c>
      <c r="G162" s="336" t="s">
        <v>365</v>
      </c>
      <c r="H162" s="332">
        <v>200</v>
      </c>
      <c r="I162" s="336">
        <v>200</v>
      </c>
      <c r="J162" s="333">
        <v>100000</v>
      </c>
      <c r="K162" s="337">
        <v>20000000</v>
      </c>
      <c r="L162" s="338">
        <f t="shared" si="1"/>
        <v>7.2674418604651167E-2</v>
      </c>
      <c r="N162"/>
    </row>
    <row r="163" spans="1:14">
      <c r="A163" s="429"/>
      <c r="B163" s="424"/>
      <c r="C163" s="335" t="s">
        <v>500</v>
      </c>
      <c r="D163" s="330">
        <v>54</v>
      </c>
      <c r="E163" s="336">
        <v>1</v>
      </c>
      <c r="F163" s="330">
        <v>200</v>
      </c>
      <c r="G163" s="336" t="s">
        <v>365</v>
      </c>
      <c r="H163" s="332">
        <v>200</v>
      </c>
      <c r="I163" s="336">
        <v>200</v>
      </c>
      <c r="J163" s="333">
        <v>100000</v>
      </c>
      <c r="K163" s="337">
        <v>20000000</v>
      </c>
      <c r="L163" s="338">
        <f t="shared" si="1"/>
        <v>7.2674418604651167E-2</v>
      </c>
      <c r="N163"/>
    </row>
    <row r="164" spans="1:14">
      <c r="A164" s="429"/>
      <c r="B164" s="424"/>
      <c r="C164" s="335" t="s">
        <v>501</v>
      </c>
      <c r="D164" s="330">
        <v>55</v>
      </c>
      <c r="E164" s="336">
        <v>1</v>
      </c>
      <c r="F164" s="330">
        <v>200</v>
      </c>
      <c r="G164" s="336" t="s">
        <v>365</v>
      </c>
      <c r="H164" s="332">
        <v>200</v>
      </c>
      <c r="I164" s="336">
        <v>200</v>
      </c>
      <c r="J164" s="333">
        <v>100000</v>
      </c>
      <c r="K164" s="337">
        <v>20000000</v>
      </c>
      <c r="L164" s="338">
        <f t="shared" si="1"/>
        <v>7.2674418604651167E-2</v>
      </c>
      <c r="N164"/>
    </row>
    <row r="165" spans="1:14">
      <c r="A165" s="429"/>
      <c r="B165" s="424"/>
      <c r="C165" s="335" t="s">
        <v>502</v>
      </c>
      <c r="D165" s="330">
        <v>56</v>
      </c>
      <c r="E165" s="336">
        <v>1</v>
      </c>
      <c r="F165" s="330">
        <v>200</v>
      </c>
      <c r="G165" s="336" t="s">
        <v>365</v>
      </c>
      <c r="H165" s="332">
        <v>200</v>
      </c>
      <c r="I165" s="336">
        <v>200</v>
      </c>
      <c r="J165" s="333">
        <v>100000</v>
      </c>
      <c r="K165" s="337">
        <v>20000000</v>
      </c>
      <c r="L165" s="338">
        <f t="shared" si="1"/>
        <v>7.2674418604651167E-2</v>
      </c>
      <c r="N165"/>
    </row>
    <row r="166" spans="1:14">
      <c r="A166" s="429"/>
      <c r="B166" s="424"/>
      <c r="C166" s="335" t="s">
        <v>491</v>
      </c>
      <c r="D166" s="330">
        <v>72</v>
      </c>
      <c r="E166" s="336">
        <v>1</v>
      </c>
      <c r="F166" s="330">
        <v>92</v>
      </c>
      <c r="G166" s="336" t="s">
        <v>365</v>
      </c>
      <c r="H166" s="332">
        <v>92</v>
      </c>
      <c r="I166" s="336">
        <v>92</v>
      </c>
      <c r="J166" s="333">
        <v>100000</v>
      </c>
      <c r="K166" s="337">
        <v>9200000</v>
      </c>
      <c r="L166" s="338">
        <f t="shared" si="1"/>
        <v>3.3430232558139532E-2</v>
      </c>
      <c r="N166"/>
    </row>
    <row r="167" spans="1:14">
      <c r="A167" s="429"/>
      <c r="B167" s="424"/>
      <c r="C167" s="335" t="s">
        <v>504</v>
      </c>
      <c r="D167" s="330">
        <v>79</v>
      </c>
      <c r="E167" s="336">
        <v>1</v>
      </c>
      <c r="F167" s="330">
        <v>192</v>
      </c>
      <c r="G167" s="336" t="s">
        <v>365</v>
      </c>
      <c r="H167" s="332">
        <v>192</v>
      </c>
      <c r="I167" s="336">
        <v>192</v>
      </c>
      <c r="J167" s="333">
        <v>100000</v>
      </c>
      <c r="K167" s="337">
        <v>19200000</v>
      </c>
      <c r="L167" s="338">
        <f t="shared" si="1"/>
        <v>6.9767441860465115E-2</v>
      </c>
      <c r="N167"/>
    </row>
    <row r="168" spans="1:14">
      <c r="A168" s="429"/>
      <c r="B168" s="424"/>
      <c r="C168" s="335" t="s">
        <v>519</v>
      </c>
      <c r="D168" s="330">
        <v>83</v>
      </c>
      <c r="E168" s="336">
        <v>101</v>
      </c>
      <c r="F168" s="330">
        <v>200</v>
      </c>
      <c r="G168" s="336" t="s">
        <v>365</v>
      </c>
      <c r="H168" s="332">
        <v>100</v>
      </c>
      <c r="I168" s="336">
        <v>100</v>
      </c>
      <c r="J168" s="333">
        <v>100000</v>
      </c>
      <c r="K168" s="337">
        <v>10000000</v>
      </c>
      <c r="L168" s="338">
        <f t="shared" si="1"/>
        <v>3.6337209302325583E-2</v>
      </c>
      <c r="N168"/>
    </row>
    <row r="169" spans="1:14">
      <c r="A169" s="429"/>
      <c r="B169" s="424"/>
      <c r="C169" s="335" t="s">
        <v>520</v>
      </c>
      <c r="D169" s="330">
        <v>84</v>
      </c>
      <c r="E169" s="336">
        <v>1</v>
      </c>
      <c r="F169" s="330">
        <v>200</v>
      </c>
      <c r="G169" s="336" t="s">
        <v>365</v>
      </c>
      <c r="H169" s="332">
        <v>200</v>
      </c>
      <c r="I169" s="336">
        <v>200</v>
      </c>
      <c r="J169" s="333">
        <v>100000</v>
      </c>
      <c r="K169" s="337">
        <v>20000000</v>
      </c>
      <c r="L169" s="338">
        <f t="shared" si="1"/>
        <v>7.2674418604651167E-2</v>
      </c>
      <c r="N169"/>
    </row>
    <row r="170" spans="1:14">
      <c r="A170" s="429"/>
      <c r="B170" s="424"/>
      <c r="C170" s="335" t="s">
        <v>505</v>
      </c>
      <c r="D170" s="330">
        <v>85</v>
      </c>
      <c r="E170" s="336">
        <v>1</v>
      </c>
      <c r="F170" s="330">
        <v>200</v>
      </c>
      <c r="G170" s="336" t="s">
        <v>365</v>
      </c>
      <c r="H170" s="332">
        <v>200</v>
      </c>
      <c r="I170" s="336">
        <v>200</v>
      </c>
      <c r="J170" s="333">
        <v>100000</v>
      </c>
      <c r="K170" s="337">
        <v>20000000</v>
      </c>
      <c r="L170" s="338">
        <f t="shared" si="1"/>
        <v>7.2674418604651167E-2</v>
      </c>
      <c r="N170"/>
    </row>
    <row r="171" spans="1:14">
      <c r="A171" s="429"/>
      <c r="B171" s="424"/>
      <c r="C171" s="335" t="s">
        <v>506</v>
      </c>
      <c r="D171" s="330">
        <v>86</v>
      </c>
      <c r="E171" s="336">
        <v>1</v>
      </c>
      <c r="F171" s="330">
        <v>200</v>
      </c>
      <c r="G171" s="336" t="s">
        <v>365</v>
      </c>
      <c r="H171" s="332">
        <v>200</v>
      </c>
      <c r="I171" s="336">
        <v>200</v>
      </c>
      <c r="J171" s="333">
        <v>100000</v>
      </c>
      <c r="K171" s="337">
        <v>20000000</v>
      </c>
      <c r="L171" s="338">
        <f t="shared" si="1"/>
        <v>7.2674418604651167E-2</v>
      </c>
      <c r="N171"/>
    </row>
    <row r="172" spans="1:14">
      <c r="A172" s="429"/>
      <c r="B172" s="424"/>
      <c r="C172" s="335" t="s">
        <v>508</v>
      </c>
      <c r="D172" s="330">
        <v>98</v>
      </c>
      <c r="E172" s="336">
        <v>1</v>
      </c>
      <c r="F172" s="330">
        <v>200</v>
      </c>
      <c r="G172" s="336" t="s">
        <v>365</v>
      </c>
      <c r="H172" s="332">
        <v>200</v>
      </c>
      <c r="I172" s="336">
        <v>200</v>
      </c>
      <c r="J172" s="333">
        <v>100000</v>
      </c>
      <c r="K172" s="337">
        <v>20000000</v>
      </c>
      <c r="L172" s="338">
        <f t="shared" si="1"/>
        <v>7.2674418604651167E-2</v>
      </c>
      <c r="N172"/>
    </row>
    <row r="173" spans="1:14">
      <c r="A173" s="429"/>
      <c r="B173" s="424"/>
      <c r="C173" s="335" t="s">
        <v>509</v>
      </c>
      <c r="D173" s="330">
        <v>99</v>
      </c>
      <c r="E173" s="336">
        <v>1</v>
      </c>
      <c r="F173" s="330">
        <v>200</v>
      </c>
      <c r="G173" s="336" t="s">
        <v>365</v>
      </c>
      <c r="H173" s="332">
        <v>200</v>
      </c>
      <c r="I173" s="336">
        <v>200</v>
      </c>
      <c r="J173" s="333">
        <v>100000</v>
      </c>
      <c r="K173" s="337">
        <v>20000000</v>
      </c>
      <c r="L173" s="338">
        <f t="shared" si="1"/>
        <v>7.2674418604651167E-2</v>
      </c>
      <c r="N173"/>
    </row>
    <row r="174" spans="1:14">
      <c r="A174" s="429"/>
      <c r="B174" s="424"/>
      <c r="C174" s="335" t="s">
        <v>507</v>
      </c>
      <c r="D174" s="330">
        <v>100</v>
      </c>
      <c r="E174" s="336">
        <v>1</v>
      </c>
      <c r="F174" s="330">
        <v>200</v>
      </c>
      <c r="G174" s="336" t="s">
        <v>365</v>
      </c>
      <c r="H174" s="332">
        <v>200</v>
      </c>
      <c r="I174" s="336">
        <v>200</v>
      </c>
      <c r="J174" s="333">
        <v>100000</v>
      </c>
      <c r="K174" s="337">
        <v>20000000</v>
      </c>
      <c r="L174" s="338">
        <f t="shared" si="1"/>
        <v>7.2674418604651167E-2</v>
      </c>
      <c r="N174"/>
    </row>
    <row r="175" spans="1:14">
      <c r="A175" s="429"/>
      <c r="B175" s="424"/>
      <c r="C175" s="335" t="s">
        <v>510</v>
      </c>
      <c r="D175" s="330">
        <v>101</v>
      </c>
      <c r="E175" s="336">
        <v>1</v>
      </c>
      <c r="F175" s="330">
        <v>200</v>
      </c>
      <c r="G175" s="336" t="s">
        <v>365</v>
      </c>
      <c r="H175" s="332">
        <v>200</v>
      </c>
      <c r="I175" s="336">
        <v>200</v>
      </c>
      <c r="J175" s="333">
        <v>100000</v>
      </c>
      <c r="K175" s="337">
        <v>20000000</v>
      </c>
      <c r="L175" s="338">
        <f t="shared" si="1"/>
        <v>7.2674418604651167E-2</v>
      </c>
      <c r="N175"/>
    </row>
    <row r="176" spans="1:14">
      <c r="A176" s="429"/>
      <c r="B176" s="424"/>
      <c r="C176" s="335" t="s">
        <v>474</v>
      </c>
      <c r="D176" s="330">
        <v>103</v>
      </c>
      <c r="E176" s="336">
        <v>13</v>
      </c>
      <c r="F176" s="330">
        <v>2420</v>
      </c>
      <c r="G176" s="336" t="s">
        <v>365</v>
      </c>
      <c r="H176" s="332">
        <v>2408</v>
      </c>
      <c r="I176" s="336">
        <v>2408</v>
      </c>
      <c r="J176" s="333">
        <v>100000</v>
      </c>
      <c r="K176" s="337">
        <v>240800000</v>
      </c>
      <c r="L176" s="338">
        <f t="shared" si="1"/>
        <v>0.875</v>
      </c>
      <c r="N176"/>
    </row>
    <row r="177" spans="1:14">
      <c r="A177" s="429"/>
      <c r="B177" s="424"/>
      <c r="C177" s="335" t="s">
        <v>474</v>
      </c>
      <c r="D177" s="330">
        <v>109</v>
      </c>
      <c r="E177" s="336">
        <v>2763</v>
      </c>
      <c r="F177" s="330">
        <v>5000</v>
      </c>
      <c r="G177" s="336" t="s">
        <v>365</v>
      </c>
      <c r="H177" s="332">
        <v>2238</v>
      </c>
      <c r="I177" s="336">
        <v>2238</v>
      </c>
      <c r="J177" s="333">
        <v>100000</v>
      </c>
      <c r="K177" s="337">
        <v>223800000</v>
      </c>
      <c r="L177" s="338">
        <f t="shared" si="1"/>
        <v>0.81322674418604646</v>
      </c>
      <c r="N177"/>
    </row>
    <row r="178" spans="1:14">
      <c r="A178" s="429"/>
      <c r="B178" s="424"/>
      <c r="C178" s="335" t="s">
        <v>511</v>
      </c>
      <c r="D178" s="330">
        <v>110</v>
      </c>
      <c r="E178" s="336">
        <v>1</v>
      </c>
      <c r="F178" s="330">
        <v>170</v>
      </c>
      <c r="G178" s="336" t="s">
        <v>365</v>
      </c>
      <c r="H178" s="332">
        <v>170</v>
      </c>
      <c r="I178" s="336">
        <v>170</v>
      </c>
      <c r="J178" s="333">
        <v>100000</v>
      </c>
      <c r="K178" s="337">
        <v>17000000</v>
      </c>
      <c r="L178" s="350">
        <f t="shared" si="1"/>
        <v>6.1773255813953487E-2</v>
      </c>
      <c r="N178"/>
    </row>
    <row r="179" spans="1:14" ht="14.25" customHeight="1">
      <c r="A179" s="382">
        <v>14</v>
      </c>
      <c r="B179" s="380" t="s">
        <v>746</v>
      </c>
      <c r="C179" s="365" t="s">
        <v>475</v>
      </c>
      <c r="D179" s="361">
        <v>1</v>
      </c>
      <c r="E179" s="177">
        <v>1</v>
      </c>
      <c r="F179" s="177">
        <v>3068</v>
      </c>
      <c r="G179" s="361" t="s">
        <v>747</v>
      </c>
      <c r="H179" s="366">
        <f>F179+E179-1</f>
        <v>3068</v>
      </c>
      <c r="I179" s="367">
        <v>0</v>
      </c>
      <c r="J179" s="368">
        <v>100000</v>
      </c>
      <c r="K179" s="369">
        <f>J179*H179</f>
        <v>306800000</v>
      </c>
      <c r="L179" s="338">
        <f t="shared" si="1"/>
        <v>1.1148255813953489</v>
      </c>
      <c r="N179"/>
    </row>
    <row r="180" spans="1:14">
      <c r="A180" s="382">
        <v>15</v>
      </c>
      <c r="B180" s="380" t="s">
        <v>748</v>
      </c>
      <c r="C180" s="365" t="s">
        <v>475</v>
      </c>
      <c r="D180" s="361">
        <v>2</v>
      </c>
      <c r="E180" s="177">
        <v>3069</v>
      </c>
      <c r="F180" s="177">
        <v>5132</v>
      </c>
      <c r="G180" s="361" t="s">
        <v>747</v>
      </c>
      <c r="H180" s="366">
        <f>+F180-E180+1</f>
        <v>2064</v>
      </c>
      <c r="I180" s="367">
        <v>0</v>
      </c>
      <c r="J180" s="368">
        <v>100000</v>
      </c>
      <c r="K180" s="369">
        <f t="shared" ref="K180:K187" si="2">J180*H180</f>
        <v>206400000</v>
      </c>
      <c r="L180" s="210">
        <f t="shared" si="1"/>
        <v>0.75</v>
      </c>
      <c r="N180"/>
    </row>
    <row r="181" spans="1:14">
      <c r="A181" s="382">
        <v>16</v>
      </c>
      <c r="B181" s="380" t="s">
        <v>533</v>
      </c>
      <c r="C181" s="365" t="s">
        <v>475</v>
      </c>
      <c r="D181" s="361">
        <v>3</v>
      </c>
      <c r="E181" s="177">
        <v>5133</v>
      </c>
      <c r="F181" s="177">
        <v>6132</v>
      </c>
      <c r="G181" s="361" t="s">
        <v>747</v>
      </c>
      <c r="H181" s="366">
        <f t="shared" ref="H181:H187" si="3">+F181-E181+1</f>
        <v>1000</v>
      </c>
      <c r="I181" s="367">
        <v>0</v>
      </c>
      <c r="J181" s="368">
        <v>100000</v>
      </c>
      <c r="K181" s="369">
        <f t="shared" si="2"/>
        <v>100000000</v>
      </c>
      <c r="L181" s="210">
        <f t="shared" si="1"/>
        <v>0.36337209302325579</v>
      </c>
      <c r="N181"/>
    </row>
    <row r="182" spans="1:14" ht="17.25" customHeight="1">
      <c r="A182" s="382">
        <v>17</v>
      </c>
      <c r="B182" s="380" t="s">
        <v>536</v>
      </c>
      <c r="C182" s="365" t="s">
        <v>475</v>
      </c>
      <c r="D182" s="361">
        <v>4</v>
      </c>
      <c r="E182" s="177">
        <v>6133</v>
      </c>
      <c r="F182" s="177">
        <v>8692</v>
      </c>
      <c r="G182" s="361" t="s">
        <v>747</v>
      </c>
      <c r="H182" s="366">
        <f t="shared" si="3"/>
        <v>2560</v>
      </c>
      <c r="I182" s="367">
        <v>0</v>
      </c>
      <c r="J182" s="368">
        <v>100000</v>
      </c>
      <c r="K182" s="369">
        <f t="shared" si="2"/>
        <v>256000000</v>
      </c>
      <c r="L182" s="210">
        <f t="shared" si="1"/>
        <v>0.93023255813953487</v>
      </c>
      <c r="N182"/>
    </row>
    <row r="183" spans="1:14" ht="13.5" customHeight="1">
      <c r="A183" s="382">
        <v>18</v>
      </c>
      <c r="B183" s="380" t="s">
        <v>459</v>
      </c>
      <c r="C183" s="365" t="s">
        <v>475</v>
      </c>
      <c r="D183" s="361">
        <v>5</v>
      </c>
      <c r="E183" s="177">
        <v>8693</v>
      </c>
      <c r="F183" s="177">
        <v>10000</v>
      </c>
      <c r="G183" s="361" t="s">
        <v>747</v>
      </c>
      <c r="H183" s="366">
        <f t="shared" si="3"/>
        <v>1308</v>
      </c>
      <c r="I183" s="367">
        <v>0</v>
      </c>
      <c r="J183" s="368">
        <v>100000</v>
      </c>
      <c r="K183" s="369">
        <f t="shared" si="2"/>
        <v>130800000</v>
      </c>
      <c r="L183" s="210">
        <f t="shared" si="1"/>
        <v>0.47529069767441862</v>
      </c>
      <c r="N183"/>
    </row>
    <row r="184" spans="1:14" ht="19.5" customHeight="1">
      <c r="A184" s="382">
        <v>19</v>
      </c>
      <c r="B184" s="380" t="s">
        <v>459</v>
      </c>
      <c r="C184" s="365" t="s">
        <v>472</v>
      </c>
      <c r="D184" s="361">
        <v>6</v>
      </c>
      <c r="E184" s="177">
        <v>1</v>
      </c>
      <c r="F184" s="177">
        <v>778</v>
      </c>
      <c r="G184" s="361" t="s">
        <v>747</v>
      </c>
      <c r="H184" s="366">
        <f t="shared" si="3"/>
        <v>778</v>
      </c>
      <c r="I184" s="367">
        <v>0</v>
      </c>
      <c r="J184" s="368">
        <v>100000</v>
      </c>
      <c r="K184" s="369">
        <f t="shared" si="2"/>
        <v>77800000</v>
      </c>
      <c r="L184" s="210">
        <f t="shared" si="1"/>
        <v>0.28270348837209303</v>
      </c>
      <c r="N184"/>
    </row>
    <row r="185" spans="1:14" ht="18" customHeight="1">
      <c r="A185" s="382">
        <v>20</v>
      </c>
      <c r="B185" s="380" t="s">
        <v>749</v>
      </c>
      <c r="C185" s="365" t="s">
        <v>472</v>
      </c>
      <c r="D185" s="361">
        <v>7</v>
      </c>
      <c r="E185" s="177">
        <v>779</v>
      </c>
      <c r="F185" s="177">
        <v>1778</v>
      </c>
      <c r="G185" s="361" t="s">
        <v>747</v>
      </c>
      <c r="H185" s="366">
        <f t="shared" si="3"/>
        <v>1000</v>
      </c>
      <c r="I185" s="367">
        <v>0</v>
      </c>
      <c r="J185" s="368">
        <v>100000</v>
      </c>
      <c r="K185" s="369">
        <f t="shared" si="2"/>
        <v>100000000</v>
      </c>
      <c r="L185" s="210">
        <f t="shared" si="1"/>
        <v>0.36337209302325579</v>
      </c>
      <c r="N185"/>
    </row>
    <row r="186" spans="1:14" ht="18.75" customHeight="1">
      <c r="A186" s="382">
        <v>21</v>
      </c>
      <c r="B186" s="380" t="s">
        <v>535</v>
      </c>
      <c r="C186" s="365" t="s">
        <v>472</v>
      </c>
      <c r="D186" s="361">
        <v>8</v>
      </c>
      <c r="E186" s="177">
        <v>1779</v>
      </c>
      <c r="F186" s="177">
        <v>5588</v>
      </c>
      <c r="G186" s="361" t="s">
        <v>747</v>
      </c>
      <c r="H186" s="366">
        <f t="shared" si="3"/>
        <v>3810</v>
      </c>
      <c r="I186" s="367">
        <v>0</v>
      </c>
      <c r="J186" s="368">
        <v>100000</v>
      </c>
      <c r="K186" s="369">
        <f t="shared" si="2"/>
        <v>381000000</v>
      </c>
      <c r="L186" s="210">
        <f t="shared" si="1"/>
        <v>1.3844476744186047</v>
      </c>
      <c r="N186"/>
    </row>
    <row r="187" spans="1:14" ht="17.25" customHeight="1">
      <c r="A187" s="382">
        <v>22</v>
      </c>
      <c r="B187" s="381" t="s">
        <v>534</v>
      </c>
      <c r="C187" s="365" t="s">
        <v>472</v>
      </c>
      <c r="D187" s="361">
        <v>9</v>
      </c>
      <c r="E187" s="177">
        <v>5589</v>
      </c>
      <c r="F187" s="177">
        <v>9401</v>
      </c>
      <c r="G187" s="361" t="s">
        <v>747</v>
      </c>
      <c r="H187" s="366">
        <f t="shared" si="3"/>
        <v>3813</v>
      </c>
      <c r="I187" s="367">
        <v>0</v>
      </c>
      <c r="J187" s="368">
        <v>100000</v>
      </c>
      <c r="K187" s="369">
        <f t="shared" si="2"/>
        <v>381300000</v>
      </c>
      <c r="L187" s="210">
        <f t="shared" si="1"/>
        <v>1.3855377906976745</v>
      </c>
      <c r="N187"/>
    </row>
    <row r="188" spans="1:14">
      <c r="B188" s="405" t="s">
        <v>750</v>
      </c>
      <c r="C188" s="406"/>
      <c r="D188" s="406"/>
      <c r="E188" s="406"/>
      <c r="F188" s="406"/>
      <c r="G188" s="407"/>
      <c r="H188" s="370">
        <f>SUM(H60:H187)</f>
        <v>42274</v>
      </c>
      <c r="I188" s="371">
        <v>22873</v>
      </c>
      <c r="J188" s="372"/>
      <c r="K188" s="370">
        <f>SUM(K60:K187)</f>
        <v>4227400000</v>
      </c>
      <c r="L188" s="373">
        <v>1</v>
      </c>
      <c r="N188"/>
    </row>
    <row r="189" spans="1:14">
      <c r="I189"/>
      <c r="J189"/>
      <c r="K189" s="297"/>
      <c r="N189"/>
    </row>
    <row r="190" spans="1:14">
      <c r="B190" s="374" t="s">
        <v>751</v>
      </c>
      <c r="C190" s="215" t="s">
        <v>6</v>
      </c>
      <c r="D190" s="215" t="s">
        <v>542</v>
      </c>
      <c r="I190"/>
      <c r="J190"/>
      <c r="N190"/>
    </row>
    <row r="191" spans="1:14">
      <c r="B191" s="313" t="s">
        <v>540</v>
      </c>
      <c r="C191" s="375">
        <v>22873</v>
      </c>
      <c r="D191" s="314">
        <f>C191/C193</f>
        <v>0.54106543028812037</v>
      </c>
      <c r="I191"/>
      <c r="J191"/>
      <c r="N191"/>
    </row>
    <row r="192" spans="1:14">
      <c r="B192" s="313" t="s">
        <v>541</v>
      </c>
      <c r="C192" s="315">
        <f>H188-C191</f>
        <v>19401</v>
      </c>
      <c r="D192" s="376">
        <f>C192/C193</f>
        <v>0.45893456971187963</v>
      </c>
      <c r="F192" s="297"/>
      <c r="I192"/>
      <c r="J192"/>
      <c r="N192"/>
    </row>
    <row r="193" spans="2:14">
      <c r="B193" s="316" t="s">
        <v>208</v>
      </c>
      <c r="C193" s="317">
        <f>SUM(C191:C192)</f>
        <v>42274</v>
      </c>
      <c r="D193" s="318">
        <v>0.99999999999999956</v>
      </c>
      <c r="I193"/>
      <c r="J193"/>
      <c r="N193"/>
    </row>
    <row r="194" spans="2:14" ht="5.0999999999999996" customHeight="1"/>
    <row r="195" spans="2:14" ht="6.6" customHeight="1"/>
    <row r="196" spans="2:14">
      <c r="B196" s="154" t="s">
        <v>421</v>
      </c>
      <c r="C196" s="154" t="s">
        <v>422</v>
      </c>
      <c r="D196" s="154"/>
      <c r="E196" s="154"/>
      <c r="F196" s="154"/>
      <c r="G196" s="154"/>
      <c r="H196" s="154"/>
      <c r="I196" s="204"/>
      <c r="J196" s="203"/>
    </row>
    <row r="197" spans="2:14" ht="7.35" customHeight="1"/>
    <row r="198" spans="2:14">
      <c r="B198" s="400" t="s">
        <v>423</v>
      </c>
      <c r="C198" s="400"/>
      <c r="D198" s="155" t="s">
        <v>719</v>
      </c>
      <c r="E198" s="155"/>
      <c r="F198" s="155"/>
      <c r="G198" s="155"/>
      <c r="H198" s="155"/>
      <c r="I198" s="207"/>
    </row>
    <row r="199" spans="2:14">
      <c r="B199" s="400" t="s">
        <v>425</v>
      </c>
      <c r="C199" s="401"/>
      <c r="D199" s="155" t="s">
        <v>721</v>
      </c>
      <c r="E199" s="155"/>
      <c r="F199" s="155"/>
      <c r="G199" s="155"/>
      <c r="H199" s="155"/>
      <c r="I199" s="207"/>
    </row>
    <row r="200" spans="2:14">
      <c r="B200" s="400" t="s">
        <v>384</v>
      </c>
      <c r="C200" s="401"/>
      <c r="D200" s="319" t="s">
        <v>724</v>
      </c>
      <c r="E200" s="155"/>
      <c r="F200" s="155"/>
      <c r="G200" s="155"/>
      <c r="H200" s="155"/>
      <c r="I200" s="207"/>
    </row>
    <row r="201" spans="2:14">
      <c r="B201" s="400" t="s">
        <v>424</v>
      </c>
      <c r="C201" s="401"/>
      <c r="D201" s="155" t="s">
        <v>722</v>
      </c>
      <c r="E201" s="155"/>
      <c r="F201" s="155"/>
      <c r="G201" s="155"/>
      <c r="H201" s="155"/>
      <c r="I201" s="207"/>
    </row>
    <row r="202" spans="2:14">
      <c r="B202" s="400" t="s">
        <v>387</v>
      </c>
      <c r="C202" s="401"/>
      <c r="D202" s="155" t="s">
        <v>723</v>
      </c>
      <c r="E202" s="155"/>
      <c r="F202" s="155"/>
      <c r="G202" s="155"/>
      <c r="H202" s="155"/>
      <c r="I202" s="207"/>
    </row>
    <row r="204" spans="2:14">
      <c r="B204" s="154" t="s">
        <v>426</v>
      </c>
      <c r="C204" s="154" t="s">
        <v>427</v>
      </c>
      <c r="D204" s="154"/>
      <c r="E204" s="154"/>
      <c r="F204" s="154"/>
      <c r="G204" s="154"/>
      <c r="H204" s="154"/>
      <c r="I204" s="204"/>
      <c r="J204" s="203"/>
    </row>
    <row r="205" spans="2:14" ht="9" customHeight="1"/>
    <row r="206" spans="2:14">
      <c r="B206" s="396" t="s">
        <v>372</v>
      </c>
      <c r="C206" s="396"/>
      <c r="D206" s="396" t="s">
        <v>373</v>
      </c>
      <c r="E206" s="396"/>
      <c r="F206" s="396"/>
      <c r="G206" s="396"/>
      <c r="H206" s="396"/>
    </row>
    <row r="207" spans="2:14">
      <c r="B207" s="394" t="s">
        <v>459</v>
      </c>
      <c r="C207" s="394"/>
      <c r="D207" s="394" t="s">
        <v>3</v>
      </c>
      <c r="E207" s="394"/>
      <c r="F207" s="394"/>
      <c r="G207" s="394"/>
      <c r="H207" s="394"/>
    </row>
    <row r="208" spans="2:14">
      <c r="B208" s="394" t="s">
        <v>460</v>
      </c>
      <c r="C208" s="394"/>
      <c r="D208" s="394" t="s">
        <v>4</v>
      </c>
      <c r="E208" s="394"/>
      <c r="F208" s="394"/>
      <c r="G208" s="394"/>
      <c r="H208" s="394"/>
    </row>
    <row r="209" spans="2:8">
      <c r="B209" s="394" t="s">
        <v>461</v>
      </c>
      <c r="C209" s="394"/>
      <c r="D209" s="394" t="s">
        <v>428</v>
      </c>
      <c r="E209" s="394"/>
      <c r="F209" s="394"/>
      <c r="G209" s="394"/>
      <c r="H209" s="394"/>
    </row>
    <row r="210" spans="2:8">
      <c r="B210" s="394" t="s">
        <v>465</v>
      </c>
      <c r="C210" s="394"/>
      <c r="D210" s="394" t="s">
        <v>371</v>
      </c>
      <c r="E210" s="394"/>
      <c r="F210" s="394"/>
      <c r="G210" s="394"/>
      <c r="H210" s="394"/>
    </row>
    <row r="211" spans="2:8">
      <c r="B211" s="393" t="s">
        <v>487</v>
      </c>
      <c r="C211" s="393"/>
      <c r="D211" s="181" t="s">
        <v>420</v>
      </c>
      <c r="E211" s="181"/>
      <c r="F211" s="181"/>
      <c r="G211" s="181"/>
      <c r="H211" s="181"/>
    </row>
  </sheetData>
  <mergeCells count="76">
    <mergeCell ref="A118:A125"/>
    <mergeCell ref="B118:B125"/>
    <mergeCell ref="A126:A132"/>
    <mergeCell ref="B126:B132"/>
    <mergeCell ref="A134:A178"/>
    <mergeCell ref="B134:B178"/>
    <mergeCell ref="A97:A100"/>
    <mergeCell ref="B97:B100"/>
    <mergeCell ref="A101:A109"/>
    <mergeCell ref="B101:B109"/>
    <mergeCell ref="A110:A117"/>
    <mergeCell ref="B110:B117"/>
    <mergeCell ref="A74:A82"/>
    <mergeCell ref="B74:B82"/>
    <mergeCell ref="A83:A90"/>
    <mergeCell ref="B83:B90"/>
    <mergeCell ref="A91:A96"/>
    <mergeCell ref="B91:B96"/>
    <mergeCell ref="A60:A62"/>
    <mergeCell ref="B60:B62"/>
    <mergeCell ref="A63:A69"/>
    <mergeCell ref="B63:B69"/>
    <mergeCell ref="A70:A73"/>
    <mergeCell ref="B70:B73"/>
    <mergeCell ref="B3:J3"/>
    <mergeCell ref="B4:J4"/>
    <mergeCell ref="D33:I33"/>
    <mergeCell ref="D34:I34"/>
    <mergeCell ref="D35:I35"/>
    <mergeCell ref="B20:J20"/>
    <mergeCell ref="B21:J21"/>
    <mergeCell ref="C28:I28"/>
    <mergeCell ref="B31:C31"/>
    <mergeCell ref="B33:C33"/>
    <mergeCell ref="B32:D32"/>
    <mergeCell ref="B34:C34"/>
    <mergeCell ref="B35:C35"/>
    <mergeCell ref="B36:C36"/>
    <mergeCell ref="D39:H39"/>
    <mergeCell ref="B202:C202"/>
    <mergeCell ref="B198:C198"/>
    <mergeCell ref="B199:C199"/>
    <mergeCell ref="B200:C200"/>
    <mergeCell ref="B37:C37"/>
    <mergeCell ref="B39:C39"/>
    <mergeCell ref="B55:C55"/>
    <mergeCell ref="B46:C46"/>
    <mergeCell ref="B201:C201"/>
    <mergeCell ref="B56:C56"/>
    <mergeCell ref="B188:G188"/>
    <mergeCell ref="B54:C54"/>
    <mergeCell ref="B53:C53"/>
    <mergeCell ref="B42:C42"/>
    <mergeCell ref="K20:K23"/>
    <mergeCell ref="B206:C206"/>
    <mergeCell ref="D206:H206"/>
    <mergeCell ref="B207:C207"/>
    <mergeCell ref="D207:H207"/>
    <mergeCell ref="B22:J22"/>
    <mergeCell ref="B23:J23"/>
    <mergeCell ref="B24:J27"/>
    <mergeCell ref="B49:J52"/>
    <mergeCell ref="D43:I43"/>
    <mergeCell ref="B40:C40"/>
    <mergeCell ref="D40:H40"/>
    <mergeCell ref="B44:C44"/>
    <mergeCell ref="B45:C45"/>
    <mergeCell ref="B43:C43"/>
    <mergeCell ref="D44:I44"/>
    <mergeCell ref="B211:C211"/>
    <mergeCell ref="B208:C208"/>
    <mergeCell ref="D208:H208"/>
    <mergeCell ref="B209:C209"/>
    <mergeCell ref="D209:H209"/>
    <mergeCell ref="B210:C210"/>
    <mergeCell ref="D210:H210"/>
  </mergeCells>
  <pageMargins left="0.70866141732283472" right="0.70866141732283472" top="1.7322834645669292"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I70"/>
  <sheetViews>
    <sheetView showGridLines="0" topLeftCell="A23" zoomScale="102" zoomScaleNormal="102" workbookViewId="0">
      <selection activeCell="H57" sqref="H57"/>
    </sheetView>
  </sheetViews>
  <sheetFormatPr baseColWidth="10" defaultColWidth="10.7109375" defaultRowHeight="15"/>
  <cols>
    <col min="2" max="2" width="40.28515625" customWidth="1"/>
    <col min="3" max="3" width="14.7109375" style="28" customWidth="1"/>
    <col min="4" max="4" width="12.28515625" style="27" bestFit="1" customWidth="1"/>
    <col min="5" max="5" width="41.42578125" style="27" bestFit="1" customWidth="1"/>
    <col min="6" max="6" width="17.42578125" style="27" bestFit="1" customWidth="1"/>
    <col min="7" max="7" width="13.42578125" style="27" customWidth="1"/>
    <col min="8" max="8" width="15.28515625" bestFit="1" customWidth="1"/>
  </cols>
  <sheetData>
    <row r="4" spans="2:7">
      <c r="B4" s="433" t="s">
        <v>757</v>
      </c>
      <c r="C4" s="433"/>
      <c r="D4" s="433"/>
      <c r="E4" s="433"/>
      <c r="F4" s="433"/>
      <c r="G4" s="433"/>
    </row>
    <row r="5" spans="2:7">
      <c r="B5" s="433"/>
      <c r="C5" s="433"/>
      <c r="D5" s="433"/>
      <c r="E5" s="433"/>
      <c r="F5" s="433"/>
      <c r="G5" s="433"/>
    </row>
    <row r="6" spans="2:7">
      <c r="B6" s="433"/>
      <c r="C6" s="433"/>
      <c r="D6" s="433"/>
      <c r="E6" s="433"/>
      <c r="F6" s="433"/>
      <c r="G6" s="433"/>
    </row>
    <row r="7" spans="2:7" ht="15.75" thickBot="1"/>
    <row r="8" spans="2:7" ht="15" customHeight="1">
      <c r="B8" s="431" t="s">
        <v>7</v>
      </c>
      <c r="C8" s="434" t="s">
        <v>47</v>
      </c>
      <c r="D8" s="431" t="s">
        <v>343</v>
      </c>
      <c r="E8" s="431" t="s">
        <v>9</v>
      </c>
      <c r="F8" s="431" t="s">
        <v>8</v>
      </c>
      <c r="G8" s="431" t="s">
        <v>343</v>
      </c>
    </row>
    <row r="9" spans="2:7" ht="15.75" thickBot="1">
      <c r="B9" s="432"/>
      <c r="C9" s="435"/>
      <c r="D9" s="432"/>
      <c r="E9" s="432"/>
      <c r="F9" s="432"/>
      <c r="G9" s="432"/>
    </row>
    <row r="10" spans="2:7">
      <c r="B10" s="259" t="s">
        <v>10</v>
      </c>
      <c r="C10" s="260"/>
      <c r="D10" s="121"/>
      <c r="E10" s="261" t="s">
        <v>623</v>
      </c>
      <c r="F10" s="121"/>
      <c r="G10" s="121"/>
    </row>
    <row r="11" spans="2:7">
      <c r="B11" s="262" t="s">
        <v>44</v>
      </c>
      <c r="C11" s="122">
        <f>+SUM(C12:C14)</f>
        <v>257852899</v>
      </c>
      <c r="D11" s="122">
        <f>+SUM(D12:D14)</f>
        <v>348290195</v>
      </c>
      <c r="E11" s="263" t="s">
        <v>16</v>
      </c>
      <c r="F11" s="122">
        <f>+SUM(F12:F14)</f>
        <v>42106278.002000004</v>
      </c>
      <c r="G11" s="122">
        <f>+SUM(G12:G14)</f>
        <v>40403248.142000005</v>
      </c>
    </row>
    <row r="12" spans="2:7">
      <c r="B12" s="264" t="s">
        <v>11</v>
      </c>
      <c r="C12" s="123">
        <v>0</v>
      </c>
      <c r="D12" s="123">
        <v>0</v>
      </c>
      <c r="E12" s="265" t="s">
        <v>329</v>
      </c>
      <c r="F12" s="123">
        <f>+'Anexo 5i-5m'!C101</f>
        <v>0</v>
      </c>
      <c r="G12" s="123">
        <f>+'Anexo 5i-5m'!D101</f>
        <v>20029477.142000001</v>
      </c>
    </row>
    <row r="13" spans="2:7">
      <c r="B13" s="264" t="s">
        <v>12</v>
      </c>
      <c r="C13" s="123">
        <f>+'Anexo 5d-5h'!C24</f>
        <v>257852899</v>
      </c>
      <c r="D13" s="123">
        <f>+'Anexo 5d-5h'!D24</f>
        <v>348290195</v>
      </c>
      <c r="E13" s="265" t="s">
        <v>323</v>
      </c>
      <c r="F13" s="123">
        <f>+'Anexo 5i-5m'!C96</f>
        <v>37840520.002000004</v>
      </c>
      <c r="G13" s="123">
        <f>+'Anexo 5i-5m'!D96</f>
        <v>18373771</v>
      </c>
    </row>
    <row r="14" spans="2:7" ht="15" customHeight="1">
      <c r="B14" s="264"/>
      <c r="C14" s="123"/>
      <c r="D14" s="124"/>
      <c r="E14" s="265" t="s">
        <v>595</v>
      </c>
      <c r="F14" s="250">
        <f>+'Anexo 5n-5r'!C18</f>
        <v>4265758</v>
      </c>
      <c r="G14" s="250">
        <f>+'Anexo 5n-5r'!D18</f>
        <v>2000000</v>
      </c>
    </row>
    <row r="15" spans="2:7">
      <c r="B15" s="262" t="s">
        <v>15</v>
      </c>
      <c r="C15" s="122">
        <f>+SUM(C16:C17)</f>
        <v>1225897849</v>
      </c>
      <c r="D15" s="122">
        <f>+SUM(D16:D17)</f>
        <v>1033364265</v>
      </c>
      <c r="E15" s="127"/>
      <c r="F15" s="124"/>
      <c r="G15" s="124"/>
    </row>
    <row r="16" spans="2:7">
      <c r="B16" s="264" t="s">
        <v>13</v>
      </c>
      <c r="C16" s="123">
        <v>397323437</v>
      </c>
      <c r="D16" s="123">
        <v>123658080</v>
      </c>
      <c r="E16" s="263" t="s">
        <v>17</v>
      </c>
      <c r="F16" s="122">
        <f>+SUM(F17:F18)</f>
        <v>201380822</v>
      </c>
      <c r="G16" s="122">
        <f>+SUM(G17:G18)</f>
        <v>201726027</v>
      </c>
    </row>
    <row r="17" spans="2:7">
      <c r="B17" s="264" t="s">
        <v>14</v>
      </c>
      <c r="C17" s="123">
        <v>828574412</v>
      </c>
      <c r="D17" s="123">
        <v>909706185</v>
      </c>
      <c r="E17" s="265" t="s">
        <v>614</v>
      </c>
      <c r="F17" s="123">
        <f>+'Anexo 5i-5m'!C43</f>
        <v>200000000</v>
      </c>
      <c r="G17" s="123">
        <f>+'Anexo 5i-5m'!D43</f>
        <v>200000000</v>
      </c>
    </row>
    <row r="18" spans="2:7">
      <c r="B18" s="127"/>
      <c r="C18" s="124"/>
      <c r="D18" s="124"/>
      <c r="E18" s="265" t="s">
        <v>18</v>
      </c>
      <c r="F18" s="123">
        <f>+'Anexo 5i-5m'!C48</f>
        <v>1380822</v>
      </c>
      <c r="G18" s="123">
        <f>+'Anexo 5i-5m'!D48</f>
        <v>1726027</v>
      </c>
    </row>
    <row r="19" spans="2:7">
      <c r="B19" s="262" t="s">
        <v>19</v>
      </c>
      <c r="C19" s="122">
        <f>+SUM(C20:C22)</f>
        <v>850938288.22249997</v>
      </c>
      <c r="D19" s="122">
        <f>+SUM(D20:D22)</f>
        <v>567884791.30200005</v>
      </c>
      <c r="E19" s="127"/>
      <c r="F19" s="124"/>
      <c r="G19" s="124"/>
    </row>
    <row r="20" spans="2:7">
      <c r="B20" s="264" t="s">
        <v>20</v>
      </c>
      <c r="C20" s="123">
        <f>+'Anexo 5d-5h'!C111</f>
        <v>618176678.22249997</v>
      </c>
      <c r="D20" s="123">
        <f>+'Anexo 5d-5h'!D111</f>
        <v>501223719.30199999</v>
      </c>
      <c r="E20" s="263" t="s">
        <v>23</v>
      </c>
      <c r="F20" s="122">
        <f>+SUM(F21:F24)</f>
        <v>5043956</v>
      </c>
      <c r="G20" s="122">
        <f>+SUM(G21:G24)</f>
        <v>5043956</v>
      </c>
    </row>
    <row r="21" spans="2:7">
      <c r="B21" s="264" t="s">
        <v>21</v>
      </c>
      <c r="C21" s="123">
        <f>+'Anexo 5d-5h'!C52</f>
        <v>46258173</v>
      </c>
      <c r="D21" s="123">
        <f>+'Anexo 5d-5h'!D52</f>
        <v>0</v>
      </c>
      <c r="E21" s="265" t="s">
        <v>24</v>
      </c>
      <c r="F21" s="123">
        <v>0</v>
      </c>
      <c r="G21" s="123">
        <v>0</v>
      </c>
    </row>
    <row r="22" spans="2:7">
      <c r="B22" s="264" t="s">
        <v>22</v>
      </c>
      <c r="C22" s="123">
        <f>+'Anexo 5d-5h'!C59</f>
        <v>186503437</v>
      </c>
      <c r="D22" s="123">
        <f>+'Anexo 5d-5h'!D59</f>
        <v>66661072</v>
      </c>
      <c r="E22" s="265" t="s">
        <v>25</v>
      </c>
      <c r="F22" s="123">
        <v>5043956</v>
      </c>
      <c r="G22" s="123">
        <v>5043956</v>
      </c>
    </row>
    <row r="23" spans="2:7">
      <c r="B23" s="264"/>
      <c r="C23" s="268"/>
      <c r="D23" s="127"/>
      <c r="E23" s="265" t="s">
        <v>26</v>
      </c>
      <c r="F23" s="123">
        <v>0</v>
      </c>
      <c r="G23" s="123">
        <v>0</v>
      </c>
    </row>
    <row r="24" spans="2:7">
      <c r="B24" s="262" t="s">
        <v>612</v>
      </c>
      <c r="C24" s="122">
        <f>+C25</f>
        <v>54349546</v>
      </c>
      <c r="D24" s="122">
        <f>+D25</f>
        <v>104566982</v>
      </c>
      <c r="E24" s="265"/>
      <c r="F24" s="124"/>
      <c r="G24" s="124"/>
    </row>
    <row r="25" spans="2:7">
      <c r="B25" s="264" t="s">
        <v>27</v>
      </c>
      <c r="C25" s="123">
        <f>+'Anexo 5i-5m'!C28</f>
        <v>54349546</v>
      </c>
      <c r="D25" s="123">
        <f>+'Anexo 5i-5m'!D28</f>
        <v>104566982</v>
      </c>
      <c r="E25" s="263" t="s">
        <v>28</v>
      </c>
      <c r="F25" s="122">
        <f>+SUM(F26:F28)</f>
        <v>19910988</v>
      </c>
      <c r="G25" s="122">
        <f>+SUM(G26:G28)</f>
        <v>31839659</v>
      </c>
    </row>
    <row r="26" spans="2:7">
      <c r="B26" s="262"/>
      <c r="C26" s="268"/>
      <c r="D26" s="127"/>
      <c r="E26" s="265" t="s">
        <v>29</v>
      </c>
      <c r="F26" s="123">
        <f>+'Anexo 5n-5r'!C32</f>
        <v>0</v>
      </c>
      <c r="G26" s="123">
        <f>+'Anexo 5n-5r'!D32</f>
        <v>12019938</v>
      </c>
    </row>
    <row r="27" spans="2:7">
      <c r="B27" s="262"/>
      <c r="C27" s="268"/>
      <c r="D27" s="127"/>
      <c r="E27" s="265" t="s">
        <v>30</v>
      </c>
      <c r="F27" s="123">
        <f>+'Anexo 5n-5r'!C44</f>
        <v>19910988</v>
      </c>
      <c r="G27" s="123">
        <f>+'Anexo 5n-5r'!D44</f>
        <v>19819721</v>
      </c>
    </row>
    <row r="28" spans="2:7">
      <c r="B28" s="262"/>
      <c r="C28" s="268"/>
      <c r="D28" s="127"/>
      <c r="E28" s="265"/>
      <c r="F28" s="123"/>
      <c r="G28" s="124"/>
    </row>
    <row r="29" spans="2:7">
      <c r="B29" s="262" t="s">
        <v>31</v>
      </c>
      <c r="C29" s="122">
        <f>+C25+C19+C15+C11</f>
        <v>2389038582.2224998</v>
      </c>
      <c r="D29" s="122">
        <f>+D25+D19+D15+D11</f>
        <v>2054106233.302</v>
      </c>
      <c r="E29" s="263" t="s">
        <v>32</v>
      </c>
      <c r="F29" s="122">
        <f>+F11+F16+F20+F25</f>
        <v>268442044.00199997</v>
      </c>
      <c r="G29" s="122">
        <f>+G11+G16+G20+G25</f>
        <v>279012890.14200002</v>
      </c>
    </row>
    <row r="30" spans="2:7">
      <c r="B30" s="264"/>
      <c r="C30" s="266"/>
      <c r="D30" s="265"/>
      <c r="E30" s="264"/>
      <c r="F30" s="124"/>
      <c r="G30" s="124"/>
    </row>
    <row r="31" spans="2:7">
      <c r="B31" s="262" t="s">
        <v>33</v>
      </c>
      <c r="C31" s="123"/>
      <c r="D31" s="124"/>
      <c r="E31" s="262" t="s">
        <v>613</v>
      </c>
      <c r="F31" s="228"/>
      <c r="G31" s="124"/>
    </row>
    <row r="32" spans="2:7">
      <c r="B32" s="262" t="s">
        <v>610</v>
      </c>
      <c r="C32" s="122">
        <f>+SUM(C33:C36)</f>
        <v>1093351399</v>
      </c>
      <c r="D32" s="122">
        <f>+SUM(D33:D36)</f>
        <v>1005592761</v>
      </c>
      <c r="E32" s="263" t="s">
        <v>17</v>
      </c>
      <c r="F32" s="122">
        <f>+F33</f>
        <v>0</v>
      </c>
      <c r="G32" s="122">
        <f>+G33</f>
        <v>0</v>
      </c>
    </row>
    <row r="33" spans="2:8">
      <c r="B33" s="269" t="s">
        <v>608</v>
      </c>
      <c r="C33" s="123">
        <v>177196</v>
      </c>
      <c r="D33" s="123">
        <v>0</v>
      </c>
      <c r="E33" s="265" t="s">
        <v>614</v>
      </c>
      <c r="F33" s="123">
        <f>+'Anexo 5i-5m'!C58</f>
        <v>0</v>
      </c>
      <c r="G33" s="123">
        <v>0</v>
      </c>
    </row>
    <row r="34" spans="2:8">
      <c r="B34" s="269" t="s">
        <v>609</v>
      </c>
      <c r="C34" s="123">
        <v>90174203</v>
      </c>
      <c r="D34" s="123">
        <v>3592761</v>
      </c>
      <c r="E34" s="265"/>
      <c r="F34" s="123"/>
      <c r="G34" s="123"/>
    </row>
    <row r="35" spans="2:8">
      <c r="B35" s="264" t="s">
        <v>611</v>
      </c>
      <c r="C35" s="123">
        <f>+'Anexo 5d-5h'!E41</f>
        <v>1003000000</v>
      </c>
      <c r="D35" s="123">
        <f>+'Anexo 5d-5h'!E42</f>
        <v>1002000000</v>
      </c>
      <c r="E35" s="265" t="s">
        <v>326</v>
      </c>
      <c r="F35" s="125">
        <f>+'Anexo 5n-5r'!C10</f>
        <v>64807127</v>
      </c>
      <c r="G35" s="125">
        <f>+'Anexo 5n-5r'!D10</f>
        <v>0</v>
      </c>
    </row>
    <row r="36" spans="2:8" ht="18.75" customHeight="1">
      <c r="B36" s="264" t="s">
        <v>34</v>
      </c>
      <c r="C36" s="123">
        <v>0</v>
      </c>
      <c r="D36" s="123">
        <v>0</v>
      </c>
      <c r="E36" s="265"/>
      <c r="F36" s="127"/>
      <c r="G36" s="127"/>
    </row>
    <row r="37" spans="2:8">
      <c r="B37" s="267"/>
      <c r="C37" s="268"/>
      <c r="D37" s="127"/>
      <c r="E37" s="263" t="s">
        <v>35</v>
      </c>
      <c r="F37" s="277">
        <f>+F32+F35</f>
        <v>64807127</v>
      </c>
      <c r="G37" s="277">
        <f>+G32+G35</f>
        <v>0</v>
      </c>
    </row>
    <row r="38" spans="2:8">
      <c r="B38" s="262" t="s">
        <v>607</v>
      </c>
      <c r="C38" s="268"/>
      <c r="D38" s="127"/>
      <c r="E38" s="263"/>
      <c r="F38" s="123"/>
      <c r="G38" s="123"/>
    </row>
    <row r="39" spans="2:8">
      <c r="B39" s="264"/>
      <c r="C39" s="268"/>
      <c r="D39" s="127"/>
      <c r="E39" s="263"/>
      <c r="F39" s="124"/>
      <c r="G39" s="124"/>
    </row>
    <row r="40" spans="2:8">
      <c r="B40" s="262" t="s">
        <v>620</v>
      </c>
      <c r="C40" s="123">
        <f>+'Anexo 5d-5h'!G124</f>
        <v>266801592</v>
      </c>
      <c r="D40" s="123">
        <f>+'Anexo 5d-5h'!G125</f>
        <v>257672532</v>
      </c>
      <c r="E40" s="263" t="s">
        <v>37</v>
      </c>
      <c r="F40" s="122">
        <f>+F29+F37</f>
        <v>333249171.00199997</v>
      </c>
      <c r="G40" s="122">
        <f>+G29+G37</f>
        <v>279012890.14200002</v>
      </c>
    </row>
    <row r="41" spans="2:8">
      <c r="B41" s="264" t="s">
        <v>36</v>
      </c>
      <c r="C41" s="123">
        <f>-'Anexo 5d-5h'!L124-9</f>
        <v>-233498862.30203366</v>
      </c>
      <c r="D41" s="123">
        <f>-'Anexo 5d-5h'!L125</f>
        <v>-222859791.03683394</v>
      </c>
      <c r="E41" s="263"/>
      <c r="F41" s="126"/>
      <c r="G41" s="126"/>
    </row>
    <row r="42" spans="2:8">
      <c r="B42" s="264"/>
      <c r="C42" s="268"/>
      <c r="D42" s="127"/>
      <c r="E42" s="263" t="s">
        <v>38</v>
      </c>
      <c r="F42" s="122"/>
      <c r="G42" s="122"/>
    </row>
    <row r="43" spans="2:8">
      <c r="B43" s="264"/>
      <c r="C43" s="268"/>
      <c r="D43" s="127"/>
      <c r="E43" s="265" t="s">
        <v>41</v>
      </c>
      <c r="F43" s="123">
        <v>4227400000</v>
      </c>
      <c r="G43" s="123">
        <f>3332300000+210600000</f>
        <v>3542900000</v>
      </c>
    </row>
    <row r="44" spans="2:8">
      <c r="B44" s="278" t="s">
        <v>622</v>
      </c>
      <c r="C44" s="122">
        <f>+'Anexo 5i-5m'!F9</f>
        <v>147507779</v>
      </c>
      <c r="D44" s="122">
        <f>+'Anexo 5i-5m'!F10</f>
        <v>88348481</v>
      </c>
      <c r="E44" s="265" t="s">
        <v>621</v>
      </c>
      <c r="F44" s="123">
        <v>10015298</v>
      </c>
      <c r="G44" s="123">
        <v>9900298</v>
      </c>
    </row>
    <row r="45" spans="2:8">
      <c r="B45" s="278"/>
      <c r="C45" s="123"/>
      <c r="D45" s="124"/>
      <c r="E45" s="265" t="s">
        <v>370</v>
      </c>
      <c r="F45" s="123">
        <v>14010438</v>
      </c>
      <c r="G45" s="123">
        <f>224610438-210600000</f>
        <v>14010438</v>
      </c>
      <c r="H45" s="13"/>
    </row>
    <row r="46" spans="2:8">
      <c r="B46" s="278" t="s">
        <v>559</v>
      </c>
      <c r="C46" s="122">
        <f>+C47</f>
        <v>311618073</v>
      </c>
      <c r="D46" s="122">
        <f>+D47</f>
        <v>311618073</v>
      </c>
      <c r="E46" s="265" t="s">
        <v>577</v>
      </c>
      <c r="F46" s="123">
        <v>803000000</v>
      </c>
      <c r="G46" s="123">
        <v>802000000</v>
      </c>
      <c r="H46" s="13"/>
    </row>
    <row r="47" spans="2:8">
      <c r="B47" s="279" t="s">
        <v>624</v>
      </c>
      <c r="C47" s="123">
        <f>+'Anexo 5i-5m'!C35</f>
        <v>311618073</v>
      </c>
      <c r="D47" s="123">
        <f>+'Anexo 5i-5m'!D35</f>
        <v>311618073</v>
      </c>
      <c r="E47" s="263" t="s">
        <v>369</v>
      </c>
      <c r="F47" s="122">
        <f>+F48+F49+F50</f>
        <v>214652267</v>
      </c>
      <c r="G47" s="122">
        <f>+G48+G49+G50</f>
        <v>162413768</v>
      </c>
    </row>
    <row r="48" spans="2:8">
      <c r="B48" s="280"/>
      <c r="C48" s="123"/>
      <c r="D48" s="124"/>
      <c r="E48" s="265" t="s">
        <v>139</v>
      </c>
      <c r="F48" s="123">
        <v>110118857</v>
      </c>
      <c r="G48" s="123">
        <v>114920325</v>
      </c>
    </row>
    <row r="49" spans="2:9">
      <c r="B49" s="264"/>
      <c r="C49" s="123"/>
      <c r="D49" s="123"/>
      <c r="E49" s="265" t="s">
        <v>42</v>
      </c>
      <c r="F49" s="123">
        <v>93691608</v>
      </c>
      <c r="G49" s="123">
        <v>36651641</v>
      </c>
    </row>
    <row r="50" spans="2:9">
      <c r="B50" s="264"/>
      <c r="C50" s="123"/>
      <c r="D50" s="123"/>
      <c r="E50" s="265" t="s">
        <v>347</v>
      </c>
      <c r="F50" s="123">
        <v>10841802</v>
      </c>
      <c r="G50" s="123">
        <v>10841802</v>
      </c>
    </row>
    <row r="51" spans="2:9">
      <c r="B51" s="264"/>
      <c r="C51" s="123"/>
      <c r="D51" s="123"/>
      <c r="E51" s="265"/>
      <c r="F51" s="122">
        <f>+F52+F53</f>
        <v>-1627508611</v>
      </c>
      <c r="G51" s="122">
        <f>+G52+G53</f>
        <v>-1315759105</v>
      </c>
      <c r="H51" s="13"/>
    </row>
    <row r="52" spans="2:9">
      <c r="B52" s="264"/>
      <c r="C52" s="123"/>
      <c r="D52" s="123"/>
      <c r="E52" s="265" t="s">
        <v>258</v>
      </c>
      <c r="F52" s="123">
        <v>-1543712172</v>
      </c>
      <c r="G52" s="123">
        <v>-1528230865</v>
      </c>
      <c r="H52" s="13"/>
    </row>
    <row r="53" spans="2:9">
      <c r="B53" s="264"/>
      <c r="C53" s="123"/>
      <c r="D53" s="123"/>
      <c r="E53" s="265" t="s">
        <v>348</v>
      </c>
      <c r="F53" s="123">
        <v>-83796439</v>
      </c>
      <c r="G53" s="123">
        <f>263041965-50570205</f>
        <v>212471760</v>
      </c>
      <c r="H53" s="13"/>
    </row>
    <row r="54" spans="2:9">
      <c r="B54" s="264"/>
      <c r="C54" s="123"/>
      <c r="D54" s="124"/>
      <c r="E54" s="127"/>
      <c r="F54" s="127"/>
      <c r="G54" s="127"/>
      <c r="H54" s="19"/>
    </row>
    <row r="55" spans="2:9" ht="15.75" thickBot="1">
      <c r="B55" s="262" t="s">
        <v>40</v>
      </c>
      <c r="C55" s="122">
        <f>+C32+C40+C41+C44+C46</f>
        <v>1585779980.6979663</v>
      </c>
      <c r="D55" s="122">
        <f>+D32+D40+D41+D44+D46</f>
        <v>1440372055.963166</v>
      </c>
      <c r="E55" s="263" t="s">
        <v>318</v>
      </c>
      <c r="F55" s="281">
        <f>+F51+F47+F46+F45+F44+F43</f>
        <v>3641569392</v>
      </c>
      <c r="G55" s="281">
        <f>+G51+G47+G46+G45+G44+G43</f>
        <v>3215465399</v>
      </c>
      <c r="H55" s="19"/>
    </row>
    <row r="56" spans="2:9">
      <c r="B56" s="442" t="s">
        <v>45</v>
      </c>
      <c r="C56" s="444">
        <f>+C29+C55</f>
        <v>3974818562.9204664</v>
      </c>
      <c r="D56" s="444">
        <f>+D29+D55</f>
        <v>3494478289.2651663</v>
      </c>
      <c r="E56" s="446" t="s">
        <v>43</v>
      </c>
      <c r="F56" s="448">
        <f>+F40+F55</f>
        <v>3974818563.0019999</v>
      </c>
      <c r="G56" s="448">
        <f>+G40+G55</f>
        <v>3494478289.1420002</v>
      </c>
      <c r="H56" s="13"/>
    </row>
    <row r="57" spans="2:9" ht="15.75" thickBot="1">
      <c r="B57" s="443"/>
      <c r="C57" s="445"/>
      <c r="D57" s="445"/>
      <c r="E57" s="447"/>
      <c r="F57" s="449"/>
      <c r="G57" s="449"/>
      <c r="H57" s="13"/>
      <c r="I57" s="13"/>
    </row>
    <row r="58" spans="2:9">
      <c r="E58" s="28"/>
      <c r="F58" s="28"/>
      <c r="H58" s="13"/>
    </row>
    <row r="59" spans="2:9" ht="15.75" thickBot="1">
      <c r="H59" s="13"/>
    </row>
    <row r="60" spans="2:9" ht="15" customHeight="1">
      <c r="B60" s="450"/>
      <c r="C60" s="452" t="s">
        <v>8</v>
      </c>
      <c r="D60" s="438" t="s">
        <v>46</v>
      </c>
      <c r="E60" s="436"/>
      <c r="F60" s="438" t="s">
        <v>8</v>
      </c>
      <c r="G60" s="440" t="s">
        <v>46</v>
      </c>
    </row>
    <row r="61" spans="2:9">
      <c r="B61" s="451"/>
      <c r="C61" s="453"/>
      <c r="D61" s="439"/>
      <c r="E61" s="437"/>
      <c r="F61" s="439"/>
      <c r="G61" s="441"/>
    </row>
    <row r="62" spans="2:9">
      <c r="B62" s="299" t="s">
        <v>330</v>
      </c>
      <c r="C62" s="137">
        <f>SUM(C63:C67)</f>
        <v>288138806.05230004</v>
      </c>
      <c r="D62" s="137">
        <f>SUM(D63:D67)</f>
        <v>642596019.4641</v>
      </c>
      <c r="E62" s="29" t="s">
        <v>331</v>
      </c>
      <c r="F62" s="137">
        <f>SUM(F64:F67)</f>
        <v>288138806.05229998</v>
      </c>
      <c r="G62" s="137">
        <f>SUM(G64:G67)</f>
        <v>642596019.4641</v>
      </c>
    </row>
    <row r="63" spans="2:9">
      <c r="B63" s="325" t="s">
        <v>700</v>
      </c>
      <c r="C63" s="326">
        <v>39297497</v>
      </c>
      <c r="D63" s="326">
        <v>338380527</v>
      </c>
      <c r="E63" s="29"/>
      <c r="F63" s="137"/>
      <c r="G63" s="137"/>
    </row>
    <row r="64" spans="2:9">
      <c r="B64" s="300" t="s">
        <v>658</v>
      </c>
      <c r="C64" s="327">
        <v>497866</v>
      </c>
      <c r="D64" s="327">
        <v>122007066</v>
      </c>
      <c r="E64" s="301" t="s">
        <v>579</v>
      </c>
      <c r="F64" s="137">
        <f>SUM(C64:C67)</f>
        <v>248841309.05230001</v>
      </c>
      <c r="G64" s="137">
        <f>SUM(D64:D67)</f>
        <v>304215492.4641</v>
      </c>
    </row>
    <row r="65" spans="2:8">
      <c r="B65" s="300" t="s">
        <v>704</v>
      </c>
      <c r="C65" s="327">
        <v>42464466</v>
      </c>
      <c r="D65" s="327">
        <v>8100331</v>
      </c>
      <c r="E65" s="301"/>
      <c r="F65" s="137"/>
      <c r="G65" s="137"/>
    </row>
    <row r="66" spans="2:8">
      <c r="B66" s="300" t="s">
        <v>705</v>
      </c>
      <c r="C66" s="327">
        <v>205871640.82640001</v>
      </c>
      <c r="D66" s="327">
        <v>137721430.45929998</v>
      </c>
      <c r="E66" s="301"/>
      <c r="F66" s="137"/>
      <c r="G66" s="137"/>
    </row>
    <row r="67" spans="2:8" ht="15.75" thickBot="1">
      <c r="B67" s="300" t="s">
        <v>657</v>
      </c>
      <c r="C67" s="328">
        <v>7336.2259000000004</v>
      </c>
      <c r="D67" s="328">
        <v>36386665.004799999</v>
      </c>
      <c r="E67" s="301" t="s">
        <v>580</v>
      </c>
      <c r="F67" s="137">
        <v>39297497</v>
      </c>
      <c r="G67" s="137">
        <v>338380527</v>
      </c>
    </row>
    <row r="70" spans="2:8">
      <c r="B70" s="430" t="s">
        <v>378</v>
      </c>
      <c r="C70" s="430"/>
      <c r="D70" s="430"/>
      <c r="E70" s="430"/>
      <c r="F70" s="430"/>
      <c r="G70" s="430"/>
      <c r="H70" s="165"/>
    </row>
  </sheetData>
  <mergeCells count="20">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 ref="B70:G70"/>
    <mergeCell ref="D8:D9"/>
    <mergeCell ref="E8:E9"/>
    <mergeCell ref="F8:F9"/>
    <mergeCell ref="G8:G9"/>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0"/>
  <sheetViews>
    <sheetView showGridLines="0" topLeftCell="A27" zoomScale="102" zoomScaleNormal="102" workbookViewId="0">
      <selection activeCell="C47" sqref="C47"/>
    </sheetView>
  </sheetViews>
  <sheetFormatPr baseColWidth="10" defaultColWidth="10.7109375" defaultRowHeight="15"/>
  <cols>
    <col min="2" max="2" width="47" bestFit="1" customWidth="1"/>
    <col min="3" max="3" width="16.7109375" customWidth="1"/>
    <col min="4" max="4" width="23.42578125" customWidth="1"/>
    <col min="6" max="6" width="12.7109375" bestFit="1" customWidth="1"/>
    <col min="8" max="8" width="17.28515625" customWidth="1"/>
  </cols>
  <sheetData>
    <row r="4" spans="2:5">
      <c r="B4" s="454" t="s">
        <v>758</v>
      </c>
      <c r="C4" s="454"/>
      <c r="D4" s="454"/>
    </row>
    <row r="5" spans="2:5">
      <c r="B5" s="454"/>
      <c r="C5" s="454"/>
      <c r="D5" s="454"/>
    </row>
    <row r="7" spans="2:5" ht="22.5">
      <c r="B7" s="200"/>
      <c r="C7" s="201" t="s">
        <v>47</v>
      </c>
      <c r="D7" s="195" t="s">
        <v>48</v>
      </c>
    </row>
    <row r="8" spans="2:5">
      <c r="B8" s="109" t="s">
        <v>49</v>
      </c>
      <c r="C8" s="110">
        <f>+SUM(C9:C16)</f>
        <v>1018817741</v>
      </c>
      <c r="D8" s="110">
        <f>+SUM(D9:D16)</f>
        <v>1106448556</v>
      </c>
    </row>
    <row r="9" spans="2:5">
      <c r="B9" s="111" t="s">
        <v>50</v>
      </c>
      <c r="C9" s="115"/>
      <c r="D9" s="115"/>
    </row>
    <row r="10" spans="2:5">
      <c r="B10" s="112" t="s">
        <v>51</v>
      </c>
      <c r="C10" s="113">
        <v>0</v>
      </c>
      <c r="D10" s="113">
        <v>498838</v>
      </c>
    </row>
    <row r="11" spans="2:5">
      <c r="B11" s="112" t="s">
        <v>52</v>
      </c>
      <c r="C11" s="113">
        <v>122557355</v>
      </c>
      <c r="D11" s="113">
        <v>94266907</v>
      </c>
    </row>
    <row r="12" spans="2:5">
      <c r="B12" s="111" t="s">
        <v>53</v>
      </c>
      <c r="C12" s="115"/>
      <c r="D12" s="115"/>
    </row>
    <row r="13" spans="2:5">
      <c r="B13" s="112" t="s">
        <v>54</v>
      </c>
      <c r="C13" s="113">
        <v>6359279</v>
      </c>
      <c r="D13" s="113">
        <v>15705263</v>
      </c>
    </row>
    <row r="14" spans="2:5">
      <c r="B14" s="112" t="s">
        <v>55</v>
      </c>
      <c r="C14" s="113">
        <v>121083528</v>
      </c>
      <c r="D14" s="113">
        <v>89873816</v>
      </c>
    </row>
    <row r="15" spans="2:5">
      <c r="B15" s="114" t="s">
        <v>56</v>
      </c>
      <c r="C15" s="113">
        <v>145395016</v>
      </c>
      <c r="D15" s="113">
        <v>19770129</v>
      </c>
    </row>
    <row r="16" spans="2:5">
      <c r="B16" s="114" t="s">
        <v>57</v>
      </c>
      <c r="C16" s="113">
        <f>+'Anexo 5s-5w'!C42</f>
        <v>623422563</v>
      </c>
      <c r="D16" s="113">
        <f>+'Anexo 5s-5w'!D42</f>
        <v>886333603</v>
      </c>
      <c r="E16" s="13"/>
    </row>
    <row r="17" spans="2:6">
      <c r="B17" s="109" t="s">
        <v>58</v>
      </c>
      <c r="C17" s="110">
        <f>-SUM(C18:C20)</f>
        <v>-117111774</v>
      </c>
      <c r="D17" s="110">
        <f>-SUM(D18:D20)</f>
        <v>-114829700</v>
      </c>
    </row>
    <row r="18" spans="2:6">
      <c r="B18" s="114" t="s">
        <v>59</v>
      </c>
      <c r="C18" s="270">
        <v>0</v>
      </c>
      <c r="D18" s="115">
        <v>5101763</v>
      </c>
    </row>
    <row r="19" spans="2:6">
      <c r="B19" s="114" t="s">
        <v>60</v>
      </c>
      <c r="C19" s="115">
        <f>'Anexo 5s-5w'!C55</f>
        <v>99153156</v>
      </c>
      <c r="D19" s="115">
        <f>+'Anexo 5s-5w'!D55</f>
        <v>94886121</v>
      </c>
    </row>
    <row r="20" spans="2:6">
      <c r="B20" s="114" t="s">
        <v>61</v>
      </c>
      <c r="C20" s="115">
        <f>+'Anexo 5s-5w'!C64</f>
        <v>17958618</v>
      </c>
      <c r="D20" s="383">
        <f>+'Anexo 5s-5w'!D64</f>
        <v>14841816</v>
      </c>
      <c r="F20" s="13"/>
    </row>
    <row r="21" spans="2:6">
      <c r="B21" s="109" t="s">
        <v>62</v>
      </c>
      <c r="C21" s="110">
        <f>+C8+C17</f>
        <v>901705967</v>
      </c>
      <c r="D21" s="110">
        <f>+D8+D17</f>
        <v>991618856</v>
      </c>
    </row>
    <row r="22" spans="2:6">
      <c r="B22" s="111" t="s">
        <v>63</v>
      </c>
      <c r="C22" s="116">
        <f>-SUM(C23:C25)</f>
        <v>-221190179</v>
      </c>
      <c r="D22" s="116">
        <f>-SUM(D23:D25)</f>
        <v>-204818095</v>
      </c>
    </row>
    <row r="23" spans="2:6">
      <c r="B23" s="114" t="s">
        <v>64</v>
      </c>
      <c r="C23" s="115">
        <v>30063984</v>
      </c>
      <c r="D23" s="115">
        <v>6785317</v>
      </c>
    </row>
    <row r="24" spans="2:6">
      <c r="B24" s="114" t="s">
        <v>65</v>
      </c>
      <c r="C24" s="115">
        <v>0</v>
      </c>
      <c r="D24" s="115">
        <v>1330000</v>
      </c>
    </row>
    <row r="25" spans="2:6">
      <c r="B25" s="114" t="s">
        <v>66</v>
      </c>
      <c r="C25" s="115">
        <f>'Anexo 5s-5w'!C74</f>
        <v>191126195</v>
      </c>
      <c r="D25" s="115">
        <f>'Anexo 5s-5w'!D74</f>
        <v>196702778</v>
      </c>
    </row>
    <row r="26" spans="2:6">
      <c r="B26" s="111" t="s">
        <v>67</v>
      </c>
      <c r="C26" s="116">
        <f>-SUM(C27:C32)</f>
        <v>-803708469</v>
      </c>
      <c r="D26" s="116">
        <f>-SUM(D27:D32)</f>
        <v>-823246368</v>
      </c>
    </row>
    <row r="27" spans="2:6">
      <c r="B27" s="114" t="s">
        <v>68</v>
      </c>
      <c r="C27" s="115">
        <v>0</v>
      </c>
      <c r="D27" s="115">
        <v>29090911</v>
      </c>
    </row>
    <row r="28" spans="2:6">
      <c r="B28" s="114" t="s">
        <v>69</v>
      </c>
      <c r="C28" s="115">
        <v>10639072</v>
      </c>
      <c r="D28" s="115">
        <v>10836415</v>
      </c>
    </row>
    <row r="29" spans="2:6">
      <c r="B29" s="114" t="s">
        <v>70</v>
      </c>
      <c r="C29" s="115">
        <v>0</v>
      </c>
      <c r="D29" s="115">
        <v>0</v>
      </c>
    </row>
    <row r="30" spans="2:6">
      <c r="B30" s="114" t="s">
        <v>71</v>
      </c>
      <c r="C30" s="115">
        <v>5371213</v>
      </c>
      <c r="D30" s="115">
        <v>4378791</v>
      </c>
    </row>
    <row r="31" spans="2:6">
      <c r="B31" s="114" t="s">
        <v>72</v>
      </c>
      <c r="C31" s="115">
        <v>4552077</v>
      </c>
      <c r="D31" s="115">
        <v>7401310</v>
      </c>
    </row>
    <row r="32" spans="2:6">
      <c r="B32" s="114" t="s">
        <v>73</v>
      </c>
      <c r="C32" s="115">
        <f>'Anexo 5s-5w'!C102</f>
        <v>783146107</v>
      </c>
      <c r="D32" s="115">
        <f>+'Anexo 5s-5w'!D102</f>
        <v>771538941</v>
      </c>
    </row>
    <row r="33" spans="2:5">
      <c r="B33" s="109" t="s">
        <v>74</v>
      </c>
      <c r="C33" s="110">
        <f>+C21+C22+C26</f>
        <v>-123192681</v>
      </c>
      <c r="D33" s="110">
        <f>+D21+D22+D26</f>
        <v>-36445607</v>
      </c>
    </row>
    <row r="34" spans="2:5">
      <c r="B34" s="111" t="s">
        <v>75</v>
      </c>
      <c r="C34" s="116"/>
      <c r="D34" s="116"/>
    </row>
    <row r="35" spans="2:5">
      <c r="B35" s="114" t="s">
        <v>76</v>
      </c>
      <c r="C35" s="115">
        <f>+'Anexo 5x-5z'!C14</f>
        <v>53416134</v>
      </c>
      <c r="D35" s="115">
        <f>+'Anexo 5x-5z'!D14</f>
        <v>180821201</v>
      </c>
    </row>
    <row r="36" spans="2:5">
      <c r="B36" s="114" t="s">
        <v>77</v>
      </c>
      <c r="C36" s="115">
        <v>0</v>
      </c>
      <c r="D36" s="115">
        <v>0</v>
      </c>
    </row>
    <row r="37" spans="2:5">
      <c r="B37" s="111" t="s">
        <v>78</v>
      </c>
      <c r="C37" s="116"/>
      <c r="D37" s="116"/>
    </row>
    <row r="38" spans="2:5">
      <c r="B38" s="111" t="s">
        <v>79</v>
      </c>
      <c r="C38" s="116"/>
      <c r="D38" s="116"/>
    </row>
    <row r="39" spans="2:5">
      <c r="B39" s="114" t="s">
        <v>80</v>
      </c>
      <c r="C39" s="115">
        <f>+'Anexo 5x-5z'!C30</f>
        <v>23960497</v>
      </c>
      <c r="D39" s="115">
        <f>+'Anexo 5x-5z'!D30</f>
        <v>64896573</v>
      </c>
      <c r="E39" s="13"/>
    </row>
    <row r="40" spans="2:5">
      <c r="B40" s="114" t="s">
        <v>81</v>
      </c>
      <c r="C40" s="115">
        <f>+'Anexo 5a-5c'!D37</f>
        <v>73144683</v>
      </c>
      <c r="D40" s="115">
        <f>+'Anexo 5a-5c'!F37</f>
        <v>80926485</v>
      </c>
    </row>
    <row r="41" spans="2:5">
      <c r="B41" s="111" t="s">
        <v>82</v>
      </c>
      <c r="C41" s="116"/>
      <c r="D41" s="116"/>
    </row>
    <row r="42" spans="2:5">
      <c r="B42" s="114" t="s">
        <v>83</v>
      </c>
      <c r="C42" s="115">
        <f>-'Anexo 5x-5z'!C37</f>
        <v>-22068495</v>
      </c>
      <c r="D42" s="115">
        <f>-'Anexo 5x-5z'!D37</f>
        <v>-12701645</v>
      </c>
    </row>
    <row r="43" spans="2:5">
      <c r="B43" s="114" t="s">
        <v>81</v>
      </c>
      <c r="C43" s="115">
        <f>+'Anexo 5a-5c'!D38</f>
        <v>-89056577</v>
      </c>
      <c r="D43" s="115">
        <f>+'Anexo 5a-5c'!F38</f>
        <v>-26892970</v>
      </c>
    </row>
    <row r="44" spans="2:5">
      <c r="B44" s="109" t="s">
        <v>84</v>
      </c>
      <c r="C44" s="110">
        <f>SUM(C33:C43)</f>
        <v>-83796439</v>
      </c>
      <c r="D44" s="110">
        <f>SUM(D33:D43)</f>
        <v>250604037</v>
      </c>
    </row>
    <row r="45" spans="2:5">
      <c r="B45" s="117" t="s">
        <v>85</v>
      </c>
      <c r="C45" s="116">
        <v>0</v>
      </c>
      <c r="D45" s="116">
        <v>24282386</v>
      </c>
    </row>
    <row r="46" spans="2:5">
      <c r="B46" s="117" t="s">
        <v>86</v>
      </c>
      <c r="C46" s="116">
        <v>0</v>
      </c>
      <c r="D46" s="116">
        <v>13849891</v>
      </c>
    </row>
    <row r="47" spans="2:5">
      <c r="B47" s="109" t="s">
        <v>87</v>
      </c>
      <c r="C47" s="110">
        <f>+C44-C45-C46</f>
        <v>-83796439</v>
      </c>
      <c r="D47" s="110">
        <f>+D44-D45-D46</f>
        <v>212471760</v>
      </c>
      <c r="E47" s="13"/>
    </row>
    <row r="48" spans="2:5">
      <c r="C48" s="13"/>
      <c r="D48" s="13"/>
    </row>
    <row r="49" spans="2:7">
      <c r="B49" s="4"/>
      <c r="C49" s="13"/>
      <c r="D49" s="4"/>
      <c r="F49" s="455"/>
      <c r="G49" s="455"/>
    </row>
    <row r="50" spans="2:7">
      <c r="B50" s="430" t="s">
        <v>378</v>
      </c>
      <c r="C50" s="430"/>
      <c r="D50" s="430"/>
      <c r="E50" s="430"/>
      <c r="F50" s="430"/>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4:P27"/>
  <sheetViews>
    <sheetView showGridLines="0" topLeftCell="A4" zoomScale="102" zoomScaleNormal="102" workbookViewId="0">
      <selection activeCell="I27" sqref="I27"/>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6" width="13.5703125" bestFit="1" customWidth="1"/>
  </cols>
  <sheetData>
    <row r="4" spans="1:15" ht="15.75">
      <c r="B4" s="457" t="s">
        <v>118</v>
      </c>
      <c r="C4" s="457"/>
      <c r="D4" s="457"/>
      <c r="E4" s="457"/>
      <c r="F4" s="457"/>
      <c r="G4" s="457"/>
      <c r="H4" s="457"/>
      <c r="I4" s="457"/>
      <c r="J4" s="457"/>
      <c r="K4" s="457"/>
      <c r="L4" s="457"/>
      <c r="M4" s="457"/>
      <c r="N4" s="457"/>
    </row>
    <row r="5" spans="1:15" ht="15.75">
      <c r="A5" s="6"/>
      <c r="B5" s="458" t="s">
        <v>760</v>
      </c>
      <c r="C5" s="458"/>
      <c r="D5" s="458"/>
      <c r="E5" s="458"/>
      <c r="F5" s="458"/>
      <c r="G5" s="458"/>
      <c r="H5" s="458"/>
      <c r="I5" s="458"/>
      <c r="J5" s="458"/>
      <c r="K5" s="458"/>
      <c r="L5" s="458"/>
      <c r="M5" s="458"/>
      <c r="N5" s="458"/>
    </row>
    <row r="6" spans="1:15" ht="15.75">
      <c r="A6" s="6"/>
      <c r="B6" s="457" t="s">
        <v>119</v>
      </c>
      <c r="C6" s="457"/>
      <c r="D6" s="457"/>
      <c r="E6" s="457"/>
      <c r="F6" s="457"/>
      <c r="G6" s="457"/>
      <c r="H6" s="457"/>
      <c r="I6" s="457"/>
      <c r="J6" s="457"/>
      <c r="K6" s="457"/>
      <c r="L6" s="457"/>
      <c r="M6" s="457"/>
      <c r="N6" s="457"/>
    </row>
    <row r="7" spans="1:15" ht="15.75">
      <c r="A7" s="6"/>
      <c r="B7" s="30"/>
      <c r="C7" s="30"/>
      <c r="D7" s="30"/>
      <c r="E7" s="30"/>
      <c r="F7" s="30"/>
      <c r="G7" s="30"/>
      <c r="H7" s="30"/>
      <c r="I7" s="30"/>
      <c r="J7" s="30"/>
      <c r="K7" s="30"/>
      <c r="L7" s="30"/>
      <c r="M7" s="30"/>
      <c r="N7" s="30"/>
    </row>
    <row r="8" spans="1:15">
      <c r="B8" s="456" t="s">
        <v>120</v>
      </c>
      <c r="C8" s="456" t="s">
        <v>121</v>
      </c>
      <c r="D8" s="456"/>
      <c r="E8" s="456"/>
      <c r="F8" s="456"/>
      <c r="G8" s="456" t="s">
        <v>122</v>
      </c>
      <c r="H8" s="456"/>
      <c r="I8" s="456"/>
      <c r="J8" s="456"/>
      <c r="K8" s="456" t="s">
        <v>123</v>
      </c>
      <c r="L8" s="456"/>
      <c r="M8" s="456" t="s">
        <v>124</v>
      </c>
      <c r="N8" s="456"/>
    </row>
    <row r="9" spans="1:15">
      <c r="B9" s="456"/>
      <c r="C9" s="456" t="s">
        <v>125</v>
      </c>
      <c r="D9" s="456" t="s">
        <v>126</v>
      </c>
      <c r="E9" s="456" t="s">
        <v>127</v>
      </c>
      <c r="F9" s="456" t="s">
        <v>128</v>
      </c>
      <c r="G9" s="456" t="s">
        <v>129</v>
      </c>
      <c r="H9" s="456" t="s">
        <v>337</v>
      </c>
      <c r="I9" s="456" t="s">
        <v>356</v>
      </c>
      <c r="J9" s="456" t="s">
        <v>130</v>
      </c>
      <c r="K9" s="456" t="s">
        <v>132</v>
      </c>
      <c r="L9" s="456" t="s">
        <v>133</v>
      </c>
      <c r="M9" s="187" t="s">
        <v>134</v>
      </c>
      <c r="N9" s="456" t="s">
        <v>136</v>
      </c>
    </row>
    <row r="10" spans="1:15">
      <c r="B10" s="456"/>
      <c r="C10" s="456"/>
      <c r="D10" s="456"/>
      <c r="E10" s="456"/>
      <c r="F10" s="456"/>
      <c r="G10" s="456"/>
      <c r="H10" s="456"/>
      <c r="I10" s="456"/>
      <c r="J10" s="456"/>
      <c r="K10" s="456"/>
      <c r="L10" s="456"/>
      <c r="M10" s="187" t="s">
        <v>135</v>
      </c>
      <c r="N10" s="456"/>
      <c r="O10" s="13"/>
    </row>
    <row r="11" spans="1:15" s="229" customFormat="1">
      <c r="B11" s="60" t="s">
        <v>319</v>
      </c>
      <c r="C11" s="105">
        <v>0</v>
      </c>
      <c r="D11" s="105">
        <f>+'Balance General'!G45</f>
        <v>14010438</v>
      </c>
      <c r="E11" s="105">
        <f>+'Balance General'!G44</f>
        <v>9900298</v>
      </c>
      <c r="F11" s="105">
        <f>+'Balance General'!G43</f>
        <v>3542900000</v>
      </c>
      <c r="G11" s="105">
        <f>+'Balance General'!G48</f>
        <v>114920325</v>
      </c>
      <c r="H11" s="105">
        <f>+'Balance General'!G46</f>
        <v>802000000</v>
      </c>
      <c r="I11" s="105">
        <f>+'Balance General'!G49</f>
        <v>36651641</v>
      </c>
      <c r="J11" s="105">
        <f>+'Balance General'!G50</f>
        <v>10841802</v>
      </c>
      <c r="K11" s="105">
        <f>+'Balance General'!G52</f>
        <v>-1528230865</v>
      </c>
      <c r="L11" s="105">
        <f>+'Balance General'!G53</f>
        <v>212471760</v>
      </c>
      <c r="M11" s="105">
        <v>0</v>
      </c>
      <c r="N11" s="105">
        <f>SUM(C11:L11)</f>
        <v>3215465399</v>
      </c>
      <c r="O11" s="230"/>
    </row>
    <row r="12" spans="1:15" s="229" customFormat="1">
      <c r="B12" s="54" t="s">
        <v>138</v>
      </c>
      <c r="C12" s="255"/>
      <c r="D12" s="255"/>
      <c r="E12" s="256"/>
      <c r="F12" s="55"/>
      <c r="G12" s="55"/>
      <c r="H12" s="55"/>
      <c r="I12" s="55"/>
      <c r="J12" s="255"/>
      <c r="K12" s="55"/>
      <c r="L12" s="55"/>
      <c r="M12" s="105"/>
      <c r="N12" s="105"/>
    </row>
    <row r="13" spans="1:15" s="229" customFormat="1">
      <c r="B13" s="60" t="s">
        <v>131</v>
      </c>
      <c r="C13" s="106">
        <v>0</v>
      </c>
      <c r="D13" s="106">
        <f>+'Balance General'!F45-'Balance General'!G45</f>
        <v>0</v>
      </c>
      <c r="E13" s="106">
        <f>+'Balance General'!F44-'Balance General'!G44</f>
        <v>115000</v>
      </c>
      <c r="F13" s="106">
        <f>+'Balance General'!F43-'Balance General'!G43</f>
        <v>684500000</v>
      </c>
      <c r="G13" s="107">
        <v>0</v>
      </c>
      <c r="H13" s="107">
        <v>0</v>
      </c>
      <c r="I13" s="107">
        <v>0</v>
      </c>
      <c r="J13" s="107">
        <v>0</v>
      </c>
      <c r="K13" s="107">
        <v>0</v>
      </c>
      <c r="L13" s="107">
        <v>0</v>
      </c>
      <c r="M13" s="105">
        <f>SUM(C13:L13)</f>
        <v>684615000</v>
      </c>
      <c r="N13" s="105">
        <v>0</v>
      </c>
    </row>
    <row r="14" spans="1:15" s="229" customFormat="1">
      <c r="B14" s="60" t="s">
        <v>139</v>
      </c>
      <c r="C14" s="107">
        <v>0</v>
      </c>
      <c r="D14" s="107">
        <v>0</v>
      </c>
      <c r="E14" s="107">
        <v>0</v>
      </c>
      <c r="F14" s="107">
        <v>0</v>
      </c>
      <c r="G14" s="108">
        <f>+'Balance General'!F48-'Balance General'!G48</f>
        <v>-4801468</v>
      </c>
      <c r="H14" s="107">
        <v>0</v>
      </c>
      <c r="I14" s="107">
        <f>+'Balance General'!F49-'Balance General'!G49</f>
        <v>57039967</v>
      </c>
      <c r="J14" s="107">
        <v>0</v>
      </c>
      <c r="K14" s="107">
        <v>0</v>
      </c>
      <c r="L14" s="107">
        <v>0</v>
      </c>
      <c r="M14" s="105">
        <f t="shared" ref="M14:M18" si="0">SUM(C14:L14)</f>
        <v>52238499</v>
      </c>
      <c r="N14" s="105">
        <v>0</v>
      </c>
    </row>
    <row r="15" spans="1:15" s="229" customFormat="1">
      <c r="B15" s="60" t="s">
        <v>617</v>
      </c>
      <c r="C15" s="106">
        <v>0</v>
      </c>
      <c r="D15" s="106">
        <v>0</v>
      </c>
      <c r="E15" s="106">
        <v>0</v>
      </c>
      <c r="F15" s="106">
        <v>0</v>
      </c>
      <c r="G15" s="107">
        <v>0</v>
      </c>
      <c r="H15" s="107">
        <v>0</v>
      </c>
      <c r="I15" s="107">
        <v>0</v>
      </c>
      <c r="J15" s="107">
        <v>0</v>
      </c>
      <c r="K15" s="107">
        <f>+L11</f>
        <v>212471760</v>
      </c>
      <c r="L15" s="107">
        <f>-K15</f>
        <v>-212471760</v>
      </c>
      <c r="M15" s="105">
        <f t="shared" si="0"/>
        <v>0</v>
      </c>
      <c r="N15" s="105">
        <v>0</v>
      </c>
    </row>
    <row r="16" spans="1:15" s="229" customFormat="1">
      <c r="B16" s="60" t="s">
        <v>581</v>
      </c>
      <c r="C16" s="106">
        <v>0</v>
      </c>
      <c r="D16" s="106">
        <v>0</v>
      </c>
      <c r="E16" s="106">
        <v>0</v>
      </c>
      <c r="F16" s="106">
        <v>0</v>
      </c>
      <c r="G16" s="107">
        <v>0</v>
      </c>
      <c r="H16" s="107">
        <v>0</v>
      </c>
      <c r="I16" s="107">
        <v>0</v>
      </c>
      <c r="J16" s="107">
        <v>0</v>
      </c>
      <c r="K16" s="107">
        <f>(+'Balance General'!G52-'Balance General'!F52+'Balance General'!G53)*-1</f>
        <v>-227953067</v>
      </c>
      <c r="L16" s="107">
        <v>0</v>
      </c>
      <c r="M16" s="105">
        <f t="shared" si="0"/>
        <v>-227953067</v>
      </c>
      <c r="N16" s="105">
        <v>0</v>
      </c>
    </row>
    <row r="17" spans="2:16" s="229" customFormat="1">
      <c r="B17" s="60" t="s">
        <v>618</v>
      </c>
      <c r="C17" s="106">
        <v>0</v>
      </c>
      <c r="D17" s="106">
        <v>0</v>
      </c>
      <c r="E17" s="106">
        <v>0</v>
      </c>
      <c r="F17" s="106">
        <v>0</v>
      </c>
      <c r="G17" s="107">
        <v>0</v>
      </c>
      <c r="H17" s="107">
        <f>+'Balance General'!F46-'Balance General'!G46</f>
        <v>1000000</v>
      </c>
      <c r="I17" s="107">
        <v>0</v>
      </c>
      <c r="J17" s="107">
        <v>0</v>
      </c>
      <c r="K17" s="107">
        <v>0</v>
      </c>
      <c r="L17" s="107">
        <v>0</v>
      </c>
      <c r="M17" s="105">
        <f t="shared" si="0"/>
        <v>1000000</v>
      </c>
      <c r="N17" s="105">
        <v>0</v>
      </c>
    </row>
    <row r="18" spans="2:16" s="229" customFormat="1">
      <c r="B18" s="283" t="s">
        <v>320</v>
      </c>
      <c r="C18" s="284">
        <v>0</v>
      </c>
      <c r="D18" s="284">
        <v>0</v>
      </c>
      <c r="E18" s="284">
        <v>0</v>
      </c>
      <c r="F18" s="284">
        <v>0</v>
      </c>
      <c r="G18" s="282">
        <v>0</v>
      </c>
      <c r="H18" s="282">
        <v>0</v>
      </c>
      <c r="I18" s="282">
        <v>0</v>
      </c>
      <c r="J18" s="282">
        <v>0</v>
      </c>
      <c r="K18" s="285">
        <v>0</v>
      </c>
      <c r="L18" s="284">
        <f>+'Balance General'!F53</f>
        <v>-83796439</v>
      </c>
      <c r="M18" s="282">
        <f t="shared" si="0"/>
        <v>-83796439</v>
      </c>
      <c r="N18" s="282">
        <v>0</v>
      </c>
    </row>
    <row r="19" spans="2:16" s="229" customFormat="1">
      <c r="B19" s="286" t="s">
        <v>332</v>
      </c>
      <c r="C19" s="282">
        <f>SUM(C11:C18)</f>
        <v>0</v>
      </c>
      <c r="D19" s="282">
        <f t="shared" ref="D19:L19" si="1">SUM(D11:D18)</f>
        <v>14010438</v>
      </c>
      <c r="E19" s="282">
        <f t="shared" si="1"/>
        <v>10015298</v>
      </c>
      <c r="F19" s="282">
        <f t="shared" si="1"/>
        <v>4227400000</v>
      </c>
      <c r="G19" s="282">
        <f t="shared" si="1"/>
        <v>110118857</v>
      </c>
      <c r="H19" s="282">
        <f t="shared" si="1"/>
        <v>803000000</v>
      </c>
      <c r="I19" s="282">
        <f t="shared" si="1"/>
        <v>93691608</v>
      </c>
      <c r="J19" s="282">
        <f t="shared" si="1"/>
        <v>10841802</v>
      </c>
      <c r="K19" s="282">
        <f>SUM(K11:K18)</f>
        <v>-1543712172</v>
      </c>
      <c r="L19" s="282">
        <f t="shared" si="1"/>
        <v>-83796439</v>
      </c>
      <c r="M19" s="282">
        <f>SUM(C19:L19)</f>
        <v>3641569392</v>
      </c>
      <c r="N19" s="282">
        <v>0</v>
      </c>
      <c r="O19" s="230"/>
      <c r="P19" s="230"/>
    </row>
    <row r="20" spans="2:16" s="229" customFormat="1">
      <c r="B20" s="286" t="s">
        <v>333</v>
      </c>
      <c r="C20" s="282">
        <f t="shared" ref="C20:H20" si="2">+C11</f>
        <v>0</v>
      </c>
      <c r="D20" s="282">
        <f t="shared" si="2"/>
        <v>14010438</v>
      </c>
      <c r="E20" s="287">
        <f t="shared" si="2"/>
        <v>9900298</v>
      </c>
      <c r="F20" s="287">
        <f t="shared" si="2"/>
        <v>3542900000</v>
      </c>
      <c r="G20" s="282">
        <f t="shared" si="2"/>
        <v>114920325</v>
      </c>
      <c r="H20" s="282">
        <f t="shared" si="2"/>
        <v>802000000</v>
      </c>
      <c r="I20" s="282">
        <v>0</v>
      </c>
      <c r="J20" s="282">
        <f>+J11</f>
        <v>10841802</v>
      </c>
      <c r="K20" s="282">
        <f>+K11</f>
        <v>-1528230865</v>
      </c>
      <c r="L20" s="282">
        <f>+L11</f>
        <v>212471760</v>
      </c>
      <c r="M20" s="282">
        <f>+M11</f>
        <v>0</v>
      </c>
      <c r="N20" s="282">
        <f>+N11</f>
        <v>3215465399</v>
      </c>
      <c r="O20" s="230"/>
    </row>
    <row r="21" spans="2:16">
      <c r="F21" s="13"/>
    </row>
    <row r="22" spans="2:16">
      <c r="M22" s="13"/>
    </row>
    <row r="23" spans="2:16" ht="16.5" customHeight="1">
      <c r="B23" s="174" t="s">
        <v>378</v>
      </c>
      <c r="C23" s="175"/>
      <c r="D23" s="176"/>
      <c r="E23" s="175"/>
      <c r="F23" s="175"/>
      <c r="G23" s="175"/>
      <c r="H23" s="175"/>
    </row>
    <row r="24" spans="2:16">
      <c r="B24" s="21"/>
      <c r="C24" s="21"/>
      <c r="D24" s="21"/>
      <c r="E24" s="21"/>
      <c r="F24" s="21"/>
      <c r="G24" s="21"/>
      <c r="H24" s="21"/>
      <c r="I24" s="21"/>
      <c r="J24" s="21"/>
      <c r="K24" s="21"/>
      <c r="L24" s="21"/>
      <c r="M24" s="21"/>
    </row>
    <row r="25" spans="2:16">
      <c r="B25" s="21"/>
      <c r="C25" s="21"/>
      <c r="D25" s="21"/>
      <c r="E25" s="21"/>
      <c r="F25" s="21"/>
      <c r="G25" s="21"/>
      <c r="H25" s="21"/>
      <c r="I25" s="21"/>
      <c r="J25" s="21"/>
      <c r="K25" s="21"/>
      <c r="L25" s="21"/>
      <c r="M25" s="21"/>
    </row>
    <row r="26" spans="2:16">
      <c r="B26" s="21"/>
      <c r="C26" s="21"/>
      <c r="D26" s="21"/>
      <c r="E26" s="21"/>
      <c r="F26" s="21"/>
      <c r="G26" s="21"/>
      <c r="H26" s="21"/>
      <c r="I26" s="21"/>
      <c r="J26" s="21"/>
      <c r="K26" s="21"/>
      <c r="L26" s="21"/>
      <c r="M26" s="21"/>
    </row>
    <row r="27" spans="2:16">
      <c r="B27" s="21"/>
      <c r="C27" s="21"/>
      <c r="D27" s="21"/>
      <c r="E27" s="21"/>
      <c r="F27" s="21"/>
      <c r="G27" s="21"/>
      <c r="H27" s="21"/>
      <c r="I27" s="21"/>
      <c r="J27" s="21"/>
      <c r="K27" s="21"/>
      <c r="L27" s="21"/>
      <c r="M27" s="21"/>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F47"/>
  <sheetViews>
    <sheetView showGridLines="0" topLeftCell="A21" zoomScale="102" zoomScaleNormal="102" workbookViewId="0">
      <selection activeCell="F33" sqref="F33"/>
    </sheetView>
  </sheetViews>
  <sheetFormatPr baseColWidth="10" defaultColWidth="10.7109375" defaultRowHeight="15"/>
  <cols>
    <col min="2" max="2" width="74.7109375" bestFit="1" customWidth="1"/>
    <col min="3" max="3" width="14.5703125" bestFit="1" customWidth="1"/>
    <col min="4" max="4" width="16.5703125" customWidth="1"/>
    <col min="5" max="5" width="13.7109375" customWidth="1"/>
    <col min="7" max="7" width="15.28515625" customWidth="1"/>
  </cols>
  <sheetData>
    <row r="4" spans="2:6">
      <c r="B4" s="460" t="s">
        <v>88</v>
      </c>
      <c r="C4" s="460"/>
      <c r="D4" s="460"/>
    </row>
    <row r="5" spans="2:6">
      <c r="B5" s="459" t="s">
        <v>759</v>
      </c>
      <c r="C5" s="459"/>
      <c r="D5" s="459"/>
    </row>
    <row r="6" spans="2:6">
      <c r="B6" s="460" t="s">
        <v>89</v>
      </c>
      <c r="C6" s="460"/>
      <c r="D6" s="460"/>
    </row>
    <row r="9" spans="2:6" ht="24">
      <c r="B9" s="198"/>
      <c r="C9" s="188" t="s">
        <v>47</v>
      </c>
      <c r="D9" s="199" t="s">
        <v>48</v>
      </c>
      <c r="E9" s="3"/>
    </row>
    <row r="10" spans="2:6">
      <c r="B10" s="89" t="s">
        <v>90</v>
      </c>
      <c r="C10" s="90"/>
      <c r="D10" s="90"/>
      <c r="E10" s="3"/>
    </row>
    <row r="11" spans="2:6">
      <c r="B11" s="91" t="s">
        <v>91</v>
      </c>
      <c r="C11" s="92">
        <f>+'Estado de Resultados'!C8</f>
        <v>1018817741</v>
      </c>
      <c r="D11" s="92">
        <v>742857276.0250001</v>
      </c>
      <c r="E11" s="3"/>
    </row>
    <row r="12" spans="2:6">
      <c r="B12" s="91" t="s">
        <v>92</v>
      </c>
      <c r="C12" s="92">
        <f>-'Estado de Resultados'!C27-'Anexo 5s-5w'!C81-'Anexo 5s-5w'!C82-'Anexo 5s-5w'!C85+'Balance General'!G22-'Balance General'!F22+'Balance General'!F27</f>
        <v>-256616484</v>
      </c>
      <c r="D12" s="92">
        <v>-332806845</v>
      </c>
      <c r="E12" s="3"/>
    </row>
    <row r="13" spans="2:6">
      <c r="B13" s="91" t="s">
        <v>93</v>
      </c>
      <c r="C13" s="92">
        <f>+'Estado de Resultados'!C35+'Estado de Resultados'!C39+'Estado de Resultados'!C40+'Estado de Resultados'!C43</f>
        <v>61464737</v>
      </c>
      <c r="D13" s="92">
        <v>250604037</v>
      </c>
      <c r="E13" s="3"/>
    </row>
    <row r="14" spans="2:6">
      <c r="B14" s="461" t="s">
        <v>94</v>
      </c>
      <c r="C14" s="462">
        <f>SUM(C11:C13)</f>
        <v>823665994</v>
      </c>
      <c r="D14" s="462">
        <f>SUM(D11:D13)</f>
        <v>660654468.0250001</v>
      </c>
      <c r="E14" s="3"/>
    </row>
    <row r="15" spans="2:6">
      <c r="B15" s="461"/>
      <c r="C15" s="462"/>
      <c r="D15" s="462"/>
      <c r="E15" s="3"/>
      <c r="F15" s="3"/>
    </row>
    <row r="16" spans="2:6">
      <c r="B16" s="93" t="s">
        <v>95</v>
      </c>
      <c r="C16" s="94"/>
      <c r="D16" s="96"/>
      <c r="E16" s="3"/>
    </row>
    <row r="17" spans="2:5">
      <c r="B17" s="91" t="s">
        <v>96</v>
      </c>
      <c r="C17" s="92">
        <f>+'Balance General'!D24-'Balance General'!C24</f>
        <v>50217436</v>
      </c>
      <c r="D17" s="92">
        <v>0</v>
      </c>
      <c r="E17" s="3"/>
    </row>
    <row r="18" spans="2:5">
      <c r="B18" s="93" t="s">
        <v>97</v>
      </c>
      <c r="C18" s="97"/>
      <c r="D18" s="244"/>
      <c r="E18" s="3"/>
    </row>
    <row r="19" spans="2:5">
      <c r="B19" s="91" t="s">
        <v>98</v>
      </c>
      <c r="C19" s="92">
        <f>-450963092.86-9</f>
        <v>-450963101.86000001</v>
      </c>
      <c r="D19" s="92">
        <v>-534018026.15199995</v>
      </c>
      <c r="E19" s="3"/>
    </row>
    <row r="20" spans="2:5">
      <c r="B20" s="93" t="s">
        <v>99</v>
      </c>
      <c r="C20" s="95"/>
      <c r="D20" s="92"/>
      <c r="E20" s="3"/>
    </row>
    <row r="21" spans="2:5">
      <c r="B21" s="91" t="s">
        <v>338</v>
      </c>
      <c r="C21" s="92">
        <f>-'Estado de Resultados'!C31-'Estado de Resultados'!C45-'Estado de Resultados'!C46</f>
        <v>-4552077</v>
      </c>
      <c r="D21" s="92">
        <v>-45533587</v>
      </c>
      <c r="E21" s="3"/>
    </row>
    <row r="22" spans="2:5">
      <c r="B22" s="93" t="s">
        <v>100</v>
      </c>
      <c r="C22" s="288">
        <f>SUM(C14:C21)</f>
        <v>418368251.13999999</v>
      </c>
      <c r="D22" s="288">
        <f>SUM(D14:D21)</f>
        <v>81102854.873000145</v>
      </c>
      <c r="E22" s="272"/>
    </row>
    <row r="23" spans="2:5">
      <c r="B23" s="89" t="s">
        <v>101</v>
      </c>
      <c r="C23" s="90"/>
      <c r="D23" s="245"/>
      <c r="E23" s="3"/>
    </row>
    <row r="24" spans="2:5">
      <c r="B24" s="91" t="s">
        <v>102</v>
      </c>
      <c r="C24" s="92">
        <f>+'Balance General'!D16-'Balance General'!C16</f>
        <v>-273665357</v>
      </c>
      <c r="D24" s="92">
        <v>0</v>
      </c>
      <c r="E24" s="3"/>
    </row>
    <row r="25" spans="2:5">
      <c r="B25" s="91" t="s">
        <v>103</v>
      </c>
      <c r="C25" s="92">
        <f>+'Balance General'!D33-'Balance General'!C33+'Balance General'!D34-'Balance General'!C34</f>
        <v>-86758638</v>
      </c>
      <c r="D25" s="92">
        <v>-18798080</v>
      </c>
      <c r="E25" s="3"/>
    </row>
    <row r="26" spans="2:5">
      <c r="B26" s="91" t="s">
        <v>104</v>
      </c>
      <c r="C26" s="92">
        <v>0</v>
      </c>
      <c r="D26" s="92">
        <v>0</v>
      </c>
      <c r="E26" s="3"/>
    </row>
    <row r="27" spans="2:5">
      <c r="B27" s="91" t="s">
        <v>336</v>
      </c>
      <c r="C27" s="92">
        <f>(+'Balance General'!C40-'Balance General'!D40+'Balance General'!C41-'Balance General'!D41)*-1</f>
        <v>1510011.2651997209</v>
      </c>
      <c r="D27" s="92">
        <v>-19198817</v>
      </c>
      <c r="E27" s="3"/>
    </row>
    <row r="28" spans="2:5">
      <c r="B28" s="91" t="s">
        <v>606</v>
      </c>
      <c r="C28" s="92">
        <f>-'Anexo 5i-5m'!D8</f>
        <v>-59159298</v>
      </c>
      <c r="D28" s="92">
        <v>-33409089</v>
      </c>
      <c r="E28" s="3"/>
    </row>
    <row r="29" spans="2:5" ht="15.75" customHeight="1">
      <c r="B29" s="91" t="s">
        <v>105</v>
      </c>
      <c r="C29" s="92">
        <f>-(+'Balance General'!D17-'Balance General'!C17)</f>
        <v>-81131773</v>
      </c>
      <c r="D29" s="92">
        <v>-231443708</v>
      </c>
      <c r="E29" s="3"/>
    </row>
    <row r="30" spans="2:5">
      <c r="B30" s="91" t="s">
        <v>106</v>
      </c>
      <c r="C30" s="92">
        <f>+'Anexo 5x-5z'!C9</f>
        <v>27191780</v>
      </c>
      <c r="D30" s="92">
        <v>23847293</v>
      </c>
      <c r="E30" s="3"/>
    </row>
    <row r="31" spans="2:5">
      <c r="B31" s="91" t="s">
        <v>107</v>
      </c>
      <c r="C31" s="92">
        <f>+'Balance General'!C25-'Balance General'!D25</f>
        <v>-50217436</v>
      </c>
      <c r="D31" s="92">
        <v>0</v>
      </c>
      <c r="E31" s="3"/>
    </row>
    <row r="32" spans="2:5">
      <c r="B32" s="93" t="s">
        <v>108</v>
      </c>
      <c r="C32" s="96">
        <f>SUM(C24:C31)</f>
        <v>-522230710.73480028</v>
      </c>
      <c r="D32" s="96">
        <f>SUM(D24:D31)</f>
        <v>-279002401</v>
      </c>
      <c r="E32" s="3"/>
    </row>
    <row r="33" spans="2:5">
      <c r="B33" s="89" t="s">
        <v>109</v>
      </c>
      <c r="C33" s="90"/>
      <c r="D33" s="245"/>
      <c r="E33" s="3"/>
    </row>
    <row r="34" spans="2:5">
      <c r="B34" s="91" t="s">
        <v>110</v>
      </c>
      <c r="C34" s="92">
        <f>+'Balance General'!F44-'Balance General'!G44+'Balance General'!F45-'Balance General'!G45+'Balance General'!F46-'Balance General'!G46</f>
        <v>1115000</v>
      </c>
      <c r="D34" s="92">
        <v>109426435</v>
      </c>
      <c r="E34" s="3"/>
    </row>
    <row r="35" spans="2:5">
      <c r="B35" s="91" t="s">
        <v>111</v>
      </c>
      <c r="C35" s="302"/>
      <c r="D35" s="92">
        <v>-123844990</v>
      </c>
      <c r="E35" s="3"/>
    </row>
    <row r="36" spans="2:5" hidden="1">
      <c r="B36" s="91" t="s">
        <v>112</v>
      </c>
      <c r="C36" s="92">
        <v>0</v>
      </c>
      <c r="D36" s="92">
        <v>0</v>
      </c>
      <c r="E36" s="3"/>
    </row>
    <row r="37" spans="2:5">
      <c r="B37" s="91" t="s">
        <v>113</v>
      </c>
      <c r="C37" s="302">
        <f>+'Estado de Resultados'!C42</f>
        <v>-22068495</v>
      </c>
      <c r="D37" s="92">
        <v>-12701645</v>
      </c>
      <c r="E37" s="3"/>
    </row>
    <row r="38" spans="2:5">
      <c r="B38" s="91" t="s">
        <v>605</v>
      </c>
      <c r="C38" s="302">
        <v>0</v>
      </c>
      <c r="D38" s="302">
        <v>-147041041</v>
      </c>
      <c r="E38" s="3"/>
    </row>
    <row r="39" spans="2:5">
      <c r="B39" s="93" t="s">
        <v>114</v>
      </c>
      <c r="C39" s="96">
        <f>SUM(C34:C38)</f>
        <v>-20953495</v>
      </c>
      <c r="D39" s="96">
        <f>SUM(D34:D38)</f>
        <v>-174161241</v>
      </c>
      <c r="E39" s="3"/>
    </row>
    <row r="40" spans="2:5">
      <c r="B40" s="93" t="s">
        <v>342</v>
      </c>
      <c r="C40" s="96">
        <v>0</v>
      </c>
      <c r="D40" s="96">
        <v>54033515</v>
      </c>
      <c r="E40" s="3"/>
    </row>
    <row r="41" spans="2:5">
      <c r="B41" s="93" t="s">
        <v>115</v>
      </c>
      <c r="C41" s="96">
        <f>+C22+C32+C39+C40</f>
        <v>-124815954.59480029</v>
      </c>
      <c r="D41" s="96">
        <f>+D22+D32+D39+D40</f>
        <v>-318027272.12699986</v>
      </c>
      <c r="E41" s="3"/>
    </row>
    <row r="42" spans="2:5">
      <c r="B42" s="93" t="s">
        <v>116</v>
      </c>
      <c r="C42" s="96">
        <f>+D43</f>
        <v>348290194.87300026</v>
      </c>
      <c r="D42" s="96">
        <v>666317467.00000012</v>
      </c>
      <c r="E42" s="3"/>
    </row>
    <row r="43" spans="2:5">
      <c r="B43" s="93" t="s">
        <v>117</v>
      </c>
      <c r="C43" s="96">
        <f>+C41+C42</f>
        <v>223474240.27819997</v>
      </c>
      <c r="D43" s="271">
        <f>+D41+D42</f>
        <v>348290194.87300026</v>
      </c>
      <c r="E43" s="252"/>
    </row>
    <row r="44" spans="2:5">
      <c r="C44" s="13"/>
      <c r="D44" s="13"/>
    </row>
    <row r="45" spans="2:5">
      <c r="B45" s="174" t="s">
        <v>378</v>
      </c>
      <c r="C45" s="175"/>
      <c r="D45" s="176"/>
      <c r="E45" s="173"/>
    </row>
    <row r="47" spans="2:5">
      <c r="C47" s="13"/>
      <c r="D47" s="13"/>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F41"/>
  <sheetViews>
    <sheetView showGridLines="0" topLeftCell="A26" zoomScale="102" zoomScaleNormal="102" workbookViewId="0">
      <selection activeCell="B41" sqref="B41"/>
    </sheetView>
  </sheetViews>
  <sheetFormatPr baseColWidth="10" defaultColWidth="10.7109375" defaultRowHeight="15"/>
  <cols>
    <col min="1" max="1" width="5" style="98" customWidth="1"/>
    <col min="2" max="2" width="89.28515625" customWidth="1"/>
    <col min="4" max="4" width="15.42578125" customWidth="1"/>
  </cols>
  <sheetData>
    <row r="4" spans="1:2">
      <c r="A4"/>
      <c r="B4" s="196" t="s">
        <v>140</v>
      </c>
    </row>
    <row r="5" spans="1:2" ht="9.6" customHeight="1">
      <c r="A5"/>
    </row>
    <row r="6" spans="1:2">
      <c r="A6" s="197" t="s">
        <v>141</v>
      </c>
      <c r="B6" s="7" t="s">
        <v>444</v>
      </c>
    </row>
    <row r="7" spans="1:2">
      <c r="A7" s="8"/>
    </row>
    <row r="8" spans="1:2" ht="45">
      <c r="A8"/>
      <c r="B8" s="8" t="s">
        <v>761</v>
      </c>
    </row>
    <row r="9" spans="1:2" ht="4.9000000000000004" customHeight="1">
      <c r="A9"/>
      <c r="B9" s="8" t="s">
        <v>366</v>
      </c>
    </row>
    <row r="10" spans="1:2">
      <c r="A10"/>
    </row>
    <row r="11" spans="1:2">
      <c r="A11" s="197" t="s">
        <v>142</v>
      </c>
      <c r="B11" s="7" t="s">
        <v>445</v>
      </c>
    </row>
    <row r="12" spans="1:2">
      <c r="A12"/>
    </row>
    <row r="13" spans="1:2">
      <c r="A13"/>
      <c r="B13" s="197" t="s">
        <v>143</v>
      </c>
    </row>
    <row r="14" spans="1:2" ht="30">
      <c r="A14"/>
      <c r="B14" s="197" t="s">
        <v>446</v>
      </c>
    </row>
    <row r="15" spans="1:2" ht="90">
      <c r="A15"/>
      <c r="B15" s="8" t="s">
        <v>447</v>
      </c>
    </row>
    <row r="16" spans="1:2" ht="30">
      <c r="A16"/>
      <c r="B16" s="8" t="s">
        <v>144</v>
      </c>
    </row>
    <row r="17" spans="1:2" ht="90">
      <c r="A17"/>
      <c r="B17" s="8" t="s">
        <v>145</v>
      </c>
    </row>
    <row r="18" spans="1:2">
      <c r="A18"/>
    </row>
    <row r="19" spans="1:2">
      <c r="A19"/>
      <c r="B19" s="197" t="s">
        <v>146</v>
      </c>
    </row>
    <row r="20" spans="1:2">
      <c r="A20"/>
      <c r="B20" s="8" t="s">
        <v>448</v>
      </c>
    </row>
    <row r="21" spans="1:2" ht="47.65" customHeight="1">
      <c r="A21"/>
    </row>
    <row r="22" spans="1:2">
      <c r="A22"/>
    </row>
    <row r="23" spans="1:2">
      <c r="A23" s="197" t="s">
        <v>147</v>
      </c>
      <c r="B23" s="7" t="s">
        <v>449</v>
      </c>
    </row>
    <row r="24" spans="1:2" ht="45">
      <c r="A24"/>
      <c r="B24" s="296" t="s">
        <v>762</v>
      </c>
    </row>
    <row r="25" spans="1:2">
      <c r="A25"/>
    </row>
    <row r="26" spans="1:2" ht="120">
      <c r="A26"/>
      <c r="B26" s="8" t="s">
        <v>450</v>
      </c>
    </row>
    <row r="27" spans="1:2">
      <c r="A27"/>
    </row>
    <row r="28" spans="1:2" ht="30">
      <c r="A28"/>
      <c r="B28" s="8" t="s">
        <v>451</v>
      </c>
    </row>
    <row r="29" spans="1:2" ht="30">
      <c r="A29"/>
      <c r="B29" s="8" t="s">
        <v>148</v>
      </c>
    </row>
    <row r="30" spans="1:2">
      <c r="A30"/>
    </row>
    <row r="31" spans="1:2" ht="30">
      <c r="A31"/>
      <c r="B31" s="8" t="s">
        <v>452</v>
      </c>
    </row>
    <row r="32" spans="1:2">
      <c r="A32"/>
      <c r="B32" s="8"/>
    </row>
    <row r="33" spans="1:6" ht="90">
      <c r="A33"/>
      <c r="B33" s="8" t="s">
        <v>149</v>
      </c>
    </row>
    <row r="34" spans="1:6">
      <c r="A34"/>
    </row>
    <row r="35" spans="1:6">
      <c r="A35"/>
      <c r="B35" s="8" t="s">
        <v>150</v>
      </c>
    </row>
    <row r="36" spans="1:6">
      <c r="A36"/>
    </row>
    <row r="37" spans="1:6">
      <c r="A37" s="197" t="s">
        <v>151</v>
      </c>
      <c r="B37" s="7" t="s">
        <v>453</v>
      </c>
    </row>
    <row r="38" spans="1:6">
      <c r="A38"/>
      <c r="B38" s="8" t="s">
        <v>659</v>
      </c>
    </row>
    <row r="40" spans="1:6">
      <c r="B40" s="5"/>
      <c r="C40" s="45"/>
      <c r="D40" s="455"/>
      <c r="E40" s="455"/>
      <c r="F40" s="455"/>
    </row>
    <row r="41" spans="1:6">
      <c r="B41" s="5"/>
      <c r="C41" s="45"/>
      <c r="D41" s="455"/>
      <c r="E41" s="455"/>
      <c r="F41" s="455"/>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4:J45"/>
  <sheetViews>
    <sheetView showGridLines="0" topLeftCell="A14" zoomScale="102" zoomScaleNormal="102" workbookViewId="0">
      <selection activeCell="F39" sqref="F39"/>
    </sheetView>
  </sheetViews>
  <sheetFormatPr baseColWidth="10" defaultColWidth="10.7109375" defaultRowHeight="15"/>
  <cols>
    <col min="1" max="1" width="7" customWidth="1"/>
    <col min="2" max="2" width="37.42578125" bestFit="1" customWidth="1"/>
    <col min="3" max="3" width="17.28515625" customWidth="1"/>
    <col min="4" max="4" width="19.42578125" customWidth="1"/>
    <col min="5" max="5" width="15" customWidth="1"/>
    <col min="6" max="6" width="14" customWidth="1"/>
    <col min="9" max="9" width="16.5703125" customWidth="1"/>
    <col min="10" max="10" width="11.7109375" bestFit="1" customWidth="1"/>
  </cols>
  <sheetData>
    <row r="4" spans="1:5">
      <c r="A4" s="153" t="s">
        <v>429</v>
      </c>
      <c r="B4" s="158" t="s">
        <v>418</v>
      </c>
      <c r="C4" s="159"/>
      <c r="D4" s="159"/>
      <c r="E4" s="159"/>
    </row>
    <row r="5" spans="1:5">
      <c r="B5" s="158" t="s">
        <v>152</v>
      </c>
      <c r="C5" s="159"/>
      <c r="D5" s="159"/>
      <c r="E5" s="159"/>
    </row>
    <row r="6" spans="1:5" ht="37.5" customHeight="1">
      <c r="B6" s="466" t="s">
        <v>153</v>
      </c>
      <c r="C6" s="466"/>
      <c r="D6" s="466"/>
      <c r="E6" s="466"/>
    </row>
    <row r="8" spans="1:5">
      <c r="B8" s="467"/>
      <c r="C8" s="187" t="s">
        <v>154</v>
      </c>
      <c r="D8" s="187" t="s">
        <v>156</v>
      </c>
    </row>
    <row r="9" spans="1:5" ht="12.6" customHeight="1">
      <c r="B9" s="467"/>
      <c r="C9" s="187" t="s">
        <v>155</v>
      </c>
      <c r="D9" s="187" t="s">
        <v>157</v>
      </c>
    </row>
    <row r="10" spans="1:5">
      <c r="B10" s="51" t="s">
        <v>158</v>
      </c>
      <c r="C10" s="78">
        <v>7263.59</v>
      </c>
      <c r="D10" s="79">
        <v>7322.9</v>
      </c>
    </row>
    <row r="11" spans="1:5">
      <c r="B11" s="51" t="s">
        <v>159</v>
      </c>
      <c r="C11" s="78">
        <v>7283.62</v>
      </c>
      <c r="D11" s="79">
        <v>7339.62</v>
      </c>
    </row>
    <row r="13" spans="1:5">
      <c r="B13" s="158" t="s">
        <v>160</v>
      </c>
    </row>
    <row r="14" spans="1:5">
      <c r="B14" s="159"/>
    </row>
    <row r="15" spans="1:5">
      <c r="B15" s="464" t="s">
        <v>161</v>
      </c>
      <c r="C15" s="464"/>
    </row>
    <row r="17" spans="2:10" ht="15" customHeight="1">
      <c r="B17" s="468" t="s">
        <v>162</v>
      </c>
      <c r="C17" s="468" t="s">
        <v>163</v>
      </c>
      <c r="D17" s="468" t="s">
        <v>164</v>
      </c>
      <c r="E17" s="465" t="s">
        <v>165</v>
      </c>
      <c r="F17" s="465" t="s">
        <v>166</v>
      </c>
      <c r="G17" s="465" t="s">
        <v>322</v>
      </c>
      <c r="H17" s="465" t="s">
        <v>167</v>
      </c>
      <c r="I17" s="465" t="s">
        <v>321</v>
      </c>
    </row>
    <row r="18" spans="2:10">
      <c r="B18" s="469"/>
      <c r="C18" s="469"/>
      <c r="D18" s="469"/>
      <c r="E18" s="465"/>
      <c r="F18" s="465"/>
      <c r="G18" s="465"/>
      <c r="H18" s="465"/>
      <c r="I18" s="465"/>
    </row>
    <row r="19" spans="2:10">
      <c r="B19" s="470"/>
      <c r="C19" s="470"/>
      <c r="D19" s="470"/>
      <c r="E19" s="465"/>
      <c r="F19" s="465"/>
      <c r="G19" s="465"/>
      <c r="H19" s="465"/>
      <c r="I19" s="465"/>
    </row>
    <row r="20" spans="2:10">
      <c r="B20" s="80" t="s">
        <v>168</v>
      </c>
      <c r="C20" s="81"/>
      <c r="D20" s="120"/>
      <c r="E20" s="81"/>
      <c r="F20" s="81"/>
      <c r="G20" s="81"/>
      <c r="H20" s="81"/>
      <c r="I20" s="81"/>
    </row>
    <row r="21" spans="2:10">
      <c r="B21" s="82" t="s">
        <v>169</v>
      </c>
      <c r="C21" s="81"/>
      <c r="D21" s="120"/>
      <c r="E21" s="81"/>
      <c r="F21" s="81"/>
      <c r="G21" s="120"/>
      <c r="H21" s="81"/>
      <c r="I21" s="81"/>
    </row>
    <row r="22" spans="2:10">
      <c r="B22" s="83" t="s">
        <v>543</v>
      </c>
      <c r="C22" s="84" t="s">
        <v>357</v>
      </c>
      <c r="D22" s="79">
        <v>3125.29</v>
      </c>
      <c r="E22" s="79">
        <f t="shared" ref="E22:E29" si="0">+$C$10</f>
        <v>7263.59</v>
      </c>
      <c r="F22" s="85">
        <f t="shared" ref="F22:F29" si="1">+D22*E22</f>
        <v>22700825.191100001</v>
      </c>
      <c r="G22" s="79">
        <v>5207.5200000000004</v>
      </c>
      <c r="H22" s="79">
        <f>+$D$10</f>
        <v>7322.9</v>
      </c>
      <c r="I22" s="85">
        <f t="shared" ref="I22:I31" si="2">+G22*H22</f>
        <v>38134148.208000004</v>
      </c>
      <c r="J22" s="13"/>
    </row>
    <row r="23" spans="2:10">
      <c r="B23" s="83" t="s">
        <v>667</v>
      </c>
      <c r="C23" s="84" t="s">
        <v>357</v>
      </c>
      <c r="D23" s="79"/>
      <c r="E23" s="79">
        <f t="shared" si="0"/>
        <v>7263.59</v>
      </c>
      <c r="F23" s="85">
        <f t="shared" ref="F23" si="3">+D23*E23</f>
        <v>0</v>
      </c>
      <c r="G23" s="79">
        <v>612.75</v>
      </c>
      <c r="H23" s="79">
        <f>+$D$10</f>
        <v>7322.9</v>
      </c>
      <c r="I23" s="85">
        <f t="shared" si="2"/>
        <v>4487106.9749999996</v>
      </c>
      <c r="J23" s="13"/>
    </row>
    <row r="24" spans="2:10">
      <c r="B24" s="119" t="s">
        <v>544</v>
      </c>
      <c r="C24" s="84" t="s">
        <v>357</v>
      </c>
      <c r="D24" s="79"/>
      <c r="E24" s="79">
        <f t="shared" si="0"/>
        <v>7263.59</v>
      </c>
      <c r="F24" s="85">
        <f t="shared" si="1"/>
        <v>0</v>
      </c>
      <c r="G24" s="79">
        <v>0</v>
      </c>
      <c r="H24" s="79">
        <f t="shared" ref="H24:H29" si="4">+$D$10</f>
        <v>7322.9</v>
      </c>
      <c r="I24" s="85">
        <f t="shared" si="2"/>
        <v>0</v>
      </c>
      <c r="J24" s="13"/>
    </row>
    <row r="25" spans="2:10">
      <c r="B25" s="83" t="s">
        <v>545</v>
      </c>
      <c r="C25" s="84" t="s">
        <v>357</v>
      </c>
      <c r="D25" s="79">
        <v>7063.18</v>
      </c>
      <c r="E25" s="79">
        <f t="shared" si="0"/>
        <v>7263.59</v>
      </c>
      <c r="F25" s="85">
        <f t="shared" si="1"/>
        <v>51304043.6162</v>
      </c>
      <c r="G25" s="79">
        <v>7968.17</v>
      </c>
      <c r="H25" s="79">
        <f t="shared" si="4"/>
        <v>7322.9</v>
      </c>
      <c r="I25" s="85">
        <f t="shared" si="2"/>
        <v>58350112.092999995</v>
      </c>
    </row>
    <row r="26" spans="2:10">
      <c r="B26" s="83" t="s">
        <v>546</v>
      </c>
      <c r="C26" s="84" t="s">
        <v>357</v>
      </c>
      <c r="D26" s="79">
        <v>89161.02</v>
      </c>
      <c r="E26" s="79">
        <f t="shared" si="0"/>
        <v>7263.59</v>
      </c>
      <c r="F26" s="85">
        <f t="shared" si="1"/>
        <v>647629093.26180005</v>
      </c>
      <c r="G26" s="79">
        <v>62000</v>
      </c>
      <c r="H26" s="79">
        <f t="shared" si="4"/>
        <v>7322.9</v>
      </c>
      <c r="I26" s="85">
        <f t="shared" si="2"/>
        <v>454019800</v>
      </c>
    </row>
    <row r="27" spans="2:10">
      <c r="B27" s="83" t="s">
        <v>752</v>
      </c>
      <c r="C27" s="84" t="s">
        <v>357</v>
      </c>
      <c r="D27" s="79">
        <v>0</v>
      </c>
      <c r="E27" s="79">
        <f t="shared" si="0"/>
        <v>7263.59</v>
      </c>
      <c r="F27" s="85">
        <f t="shared" si="1"/>
        <v>0</v>
      </c>
      <c r="G27" s="79">
        <v>3068.95</v>
      </c>
      <c r="H27" s="79">
        <f t="shared" si="4"/>
        <v>7322.9</v>
      </c>
      <c r="I27" s="85">
        <f t="shared" ref="I27" si="5">+G27*H27</f>
        <v>22473613.954999998</v>
      </c>
    </row>
    <row r="28" spans="2:10">
      <c r="B28" s="83" t="s">
        <v>753</v>
      </c>
      <c r="C28" s="84" t="s">
        <v>357</v>
      </c>
      <c r="D28" s="79"/>
      <c r="E28" s="79">
        <f t="shared" si="0"/>
        <v>7263.59</v>
      </c>
      <c r="F28" s="85">
        <f t="shared" si="1"/>
        <v>0</v>
      </c>
      <c r="G28" s="79">
        <v>490.62</v>
      </c>
      <c r="H28" s="79">
        <f t="shared" si="4"/>
        <v>7322.9</v>
      </c>
      <c r="I28" s="85">
        <f t="shared" ref="I28" si="6">+G28*H28</f>
        <v>3592761.1979999999</v>
      </c>
    </row>
    <row r="29" spans="2:10">
      <c r="B29" s="83" t="s">
        <v>725</v>
      </c>
      <c r="C29" s="84" t="s">
        <v>357</v>
      </c>
      <c r="D29" s="79">
        <v>20219.96</v>
      </c>
      <c r="E29" s="79">
        <f t="shared" si="0"/>
        <v>7263.59</v>
      </c>
      <c r="F29" s="85">
        <f t="shared" si="1"/>
        <v>146869499.25639999</v>
      </c>
      <c r="G29" s="79"/>
      <c r="H29" s="79">
        <f t="shared" si="4"/>
        <v>7322.9</v>
      </c>
      <c r="I29" s="85">
        <f t="shared" si="2"/>
        <v>0</v>
      </c>
    </row>
    <row r="30" spans="2:10">
      <c r="B30" s="82" t="s">
        <v>374</v>
      </c>
      <c r="C30" s="84"/>
      <c r="D30" s="79"/>
      <c r="E30" s="79"/>
      <c r="F30" s="85"/>
      <c r="G30" s="79"/>
      <c r="H30" s="79"/>
      <c r="I30" s="85"/>
    </row>
    <row r="31" spans="2:10">
      <c r="B31" s="83" t="s">
        <v>547</v>
      </c>
      <c r="C31" s="84" t="s">
        <v>357</v>
      </c>
      <c r="D31" s="79"/>
      <c r="E31" s="79">
        <f>+C11</f>
        <v>7283.62</v>
      </c>
      <c r="F31" s="85">
        <f>+D31*E31</f>
        <v>0</v>
      </c>
      <c r="G31" s="84">
        <v>439.1</v>
      </c>
      <c r="H31" s="79">
        <f>+D11</f>
        <v>7339.62</v>
      </c>
      <c r="I31" s="85">
        <f t="shared" si="2"/>
        <v>3222827.142</v>
      </c>
    </row>
    <row r="32" spans="2:10">
      <c r="B32" s="83"/>
      <c r="C32" s="84"/>
      <c r="D32" s="79"/>
      <c r="E32" s="79"/>
      <c r="F32" s="85"/>
      <c r="G32" s="79"/>
      <c r="H32" s="79"/>
      <c r="I32" s="85"/>
    </row>
    <row r="34" spans="2:6">
      <c r="B34" s="463" t="s">
        <v>170</v>
      </c>
      <c r="C34" s="463"/>
    </row>
    <row r="36" spans="2:6" ht="33.75">
      <c r="B36" s="195" t="s">
        <v>171</v>
      </c>
      <c r="C36" s="195" t="s">
        <v>172</v>
      </c>
      <c r="D36" s="195" t="s">
        <v>173</v>
      </c>
      <c r="E36" s="195" t="s">
        <v>174</v>
      </c>
      <c r="F36" s="195" t="s">
        <v>175</v>
      </c>
    </row>
    <row r="37" spans="2:6" ht="22.5">
      <c r="B37" s="247" t="s">
        <v>583</v>
      </c>
      <c r="C37" s="128">
        <f>+C10</f>
        <v>7263.59</v>
      </c>
      <c r="D37" s="129">
        <v>73144683</v>
      </c>
      <c r="E37" s="130">
        <f>+D10</f>
        <v>7322.9</v>
      </c>
      <c r="F37" s="246">
        <v>80926485</v>
      </c>
    </row>
    <row r="38" spans="2:6" ht="22.5">
      <c r="B38" s="247" t="s">
        <v>584</v>
      </c>
      <c r="C38" s="128">
        <f>+C10</f>
        <v>7263.59</v>
      </c>
      <c r="D38" s="129">
        <v>-89056577</v>
      </c>
      <c r="E38" s="138">
        <f>+D11</f>
        <v>7339.62</v>
      </c>
      <c r="F38" s="246">
        <v>-26892970</v>
      </c>
    </row>
    <row r="39" spans="2:6">
      <c r="B39" s="86"/>
      <c r="C39" s="79"/>
      <c r="D39" s="85"/>
      <c r="E39" s="87"/>
      <c r="F39" s="88"/>
    </row>
    <row r="40" spans="2:6">
      <c r="B40" s="86"/>
      <c r="C40" s="79"/>
      <c r="D40" s="85"/>
      <c r="E40" s="87"/>
      <c r="F40" s="88"/>
    </row>
    <row r="41" spans="2:6">
      <c r="B41" s="9"/>
      <c r="C41" s="10"/>
      <c r="D41" s="11"/>
      <c r="E41" s="10"/>
      <c r="F41" s="11"/>
    </row>
    <row r="42" spans="2:6">
      <c r="B42" s="9"/>
      <c r="C42" s="10"/>
      <c r="D42" s="11"/>
      <c r="E42" s="10"/>
      <c r="F42" s="11"/>
    </row>
    <row r="43" spans="2:6">
      <c r="B43" s="9"/>
      <c r="C43" s="10"/>
      <c r="D43" s="11"/>
      <c r="E43" s="10"/>
      <c r="F43" s="11"/>
    </row>
    <row r="44" spans="2:6">
      <c r="B44" s="9"/>
      <c r="C44" s="10"/>
      <c r="D44" s="11"/>
      <c r="E44" s="10"/>
      <c r="F44" s="11"/>
    </row>
    <row r="45" spans="2:6">
      <c r="B45" s="9"/>
      <c r="C45" s="10"/>
      <c r="D45" s="11"/>
      <c r="E45" s="10"/>
      <c r="F45" s="11"/>
    </row>
  </sheetData>
  <mergeCells count="12">
    <mergeCell ref="B6:E6"/>
    <mergeCell ref="B8:B9"/>
    <mergeCell ref="E17:E19"/>
    <mergeCell ref="F17:F19"/>
    <mergeCell ref="C17:C19"/>
    <mergeCell ref="D17:D19"/>
    <mergeCell ref="B17:B19"/>
    <mergeCell ref="B34:C34"/>
    <mergeCell ref="B15:C15"/>
    <mergeCell ref="I17:I19"/>
    <mergeCell ref="H17:H19"/>
    <mergeCell ref="G17:G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B3:N136"/>
  <sheetViews>
    <sheetView showGridLines="0" tabSelected="1" topLeftCell="A110" zoomScaleNormal="100" workbookViewId="0">
      <selection activeCell="B123" sqref="B123"/>
    </sheetView>
  </sheetViews>
  <sheetFormatPr baseColWidth="10" defaultColWidth="10.7109375" defaultRowHeight="15"/>
  <cols>
    <col min="1" max="1" width="4.28515625" customWidth="1"/>
    <col min="2" max="2" width="53.7109375" customWidth="1"/>
    <col min="3" max="3" width="18.28515625" customWidth="1"/>
    <col min="4" max="4" width="21.28515625" bestFit="1" customWidth="1"/>
    <col min="5" max="5" width="23" bestFit="1" customWidth="1"/>
    <col min="6" max="6" width="14" customWidth="1"/>
    <col min="7" max="7" width="13.28515625" bestFit="1" customWidth="1"/>
    <col min="8" max="8" width="15.42578125" customWidth="1"/>
    <col min="9" max="9" width="13.28515625" bestFit="1" customWidth="1"/>
    <col min="12" max="12" width="11.28515625" bestFit="1" customWidth="1"/>
  </cols>
  <sheetData>
    <row r="3" spans="2:5" ht="20.65" customHeight="1">
      <c r="B3" s="158" t="s">
        <v>176</v>
      </c>
      <c r="C3" s="159"/>
      <c r="D3" s="159"/>
      <c r="E3" s="159"/>
    </row>
    <row r="4" spans="2:5">
      <c r="B4" s="471" t="s">
        <v>177</v>
      </c>
      <c r="C4" s="471"/>
      <c r="D4" s="471"/>
      <c r="E4" s="471"/>
    </row>
    <row r="6" spans="2:5">
      <c r="B6" s="472" t="s">
        <v>178</v>
      </c>
      <c r="C6" s="472" t="s">
        <v>179</v>
      </c>
      <c r="D6" s="473" t="s">
        <v>180</v>
      </c>
    </row>
    <row r="7" spans="2:5">
      <c r="B7" s="472"/>
      <c r="C7" s="472"/>
      <c r="D7" s="473"/>
    </row>
    <row r="8" spans="2:5">
      <c r="B8" s="38" t="s">
        <v>181</v>
      </c>
      <c r="C8" s="39">
        <v>0</v>
      </c>
      <c r="D8" s="39">
        <v>0</v>
      </c>
    </row>
    <row r="9" spans="2:5">
      <c r="B9" s="38" t="s">
        <v>548</v>
      </c>
      <c r="C9" s="39">
        <v>9003314</v>
      </c>
      <c r="D9" s="39">
        <v>44047320</v>
      </c>
    </row>
    <row r="10" spans="2:5">
      <c r="B10" s="38" t="s">
        <v>543</v>
      </c>
      <c r="C10" s="39">
        <v>22700825</v>
      </c>
      <c r="D10" s="39">
        <v>38134148</v>
      </c>
    </row>
    <row r="11" spans="2:5">
      <c r="B11" s="38" t="s">
        <v>549</v>
      </c>
      <c r="C11" s="39">
        <v>97539621</v>
      </c>
      <c r="D11" s="39">
        <v>183864841</v>
      </c>
    </row>
    <row r="12" spans="2:5">
      <c r="B12" s="38" t="s">
        <v>668</v>
      </c>
      <c r="C12" s="39">
        <v>171616</v>
      </c>
      <c r="D12" s="39">
        <v>200669</v>
      </c>
    </row>
    <row r="13" spans="2:5">
      <c r="B13" s="38" t="s">
        <v>669</v>
      </c>
      <c r="C13" s="39">
        <v>0</v>
      </c>
      <c r="D13" s="39">
        <v>4487107</v>
      </c>
    </row>
    <row r="14" spans="2:5">
      <c r="B14" s="38" t="s">
        <v>675</v>
      </c>
      <c r="C14" s="39">
        <v>0</v>
      </c>
      <c r="D14" s="39">
        <v>2053377</v>
      </c>
    </row>
    <row r="15" spans="2:5">
      <c r="B15" s="38" t="s">
        <v>726</v>
      </c>
      <c r="C15" s="39">
        <v>152483</v>
      </c>
      <c r="D15" s="39"/>
    </row>
    <row r="16" spans="2:5">
      <c r="B16" s="38" t="s">
        <v>550</v>
      </c>
      <c r="C16" s="39">
        <v>0</v>
      </c>
      <c r="D16" s="39">
        <v>0</v>
      </c>
    </row>
    <row r="17" spans="2:9">
      <c r="B17" s="38" t="s">
        <v>544</v>
      </c>
      <c r="C17" s="39">
        <v>0</v>
      </c>
      <c r="D17" s="39">
        <v>0</v>
      </c>
    </row>
    <row r="18" spans="2:9">
      <c r="B18" s="38" t="s">
        <v>551</v>
      </c>
      <c r="C18" s="39">
        <v>514943</v>
      </c>
      <c r="D18" s="39">
        <v>514445</v>
      </c>
    </row>
    <row r="19" spans="2:9">
      <c r="B19" s="38" t="s">
        <v>552</v>
      </c>
      <c r="C19" s="39">
        <v>21648200</v>
      </c>
      <c r="D19" s="39">
        <v>3644830</v>
      </c>
    </row>
    <row r="20" spans="2:9">
      <c r="B20" s="38" t="s">
        <v>553</v>
      </c>
      <c r="C20" s="39">
        <v>20144819</v>
      </c>
      <c r="D20" s="39">
        <v>9699722</v>
      </c>
    </row>
    <row r="21" spans="2:9">
      <c r="B21" s="38" t="s">
        <v>545</v>
      </c>
      <c r="C21" s="39">
        <v>51304044</v>
      </c>
      <c r="D21" s="39">
        <v>58350114</v>
      </c>
    </row>
    <row r="22" spans="2:9">
      <c r="B22" s="38" t="s">
        <v>555</v>
      </c>
      <c r="C22" s="39">
        <v>28919161</v>
      </c>
      <c r="D22" s="39">
        <v>3293622</v>
      </c>
    </row>
    <row r="23" spans="2:9">
      <c r="B23" s="38" t="s">
        <v>554</v>
      </c>
      <c r="C23" s="39">
        <v>5753873</v>
      </c>
      <c r="D23" s="39">
        <v>0</v>
      </c>
    </row>
    <row r="24" spans="2:9">
      <c r="B24" s="40" t="s">
        <v>182</v>
      </c>
      <c r="C24" s="41">
        <f>SUM(C8:C23)</f>
        <v>257852899</v>
      </c>
      <c r="D24" s="41">
        <f>SUM(D8:D23)</f>
        <v>348290195</v>
      </c>
    </row>
    <row r="26" spans="2:9">
      <c r="B26" s="158" t="s">
        <v>183</v>
      </c>
      <c r="C26" s="159"/>
      <c r="D26" s="159"/>
    </row>
    <row r="27" spans="2:9">
      <c r="B27" s="471" t="s">
        <v>184</v>
      </c>
      <c r="C27" s="471"/>
      <c r="D27" s="471"/>
    </row>
    <row r="29" spans="2:9">
      <c r="B29" s="456" t="s">
        <v>185</v>
      </c>
      <c r="C29" s="456"/>
      <c r="D29" s="456"/>
      <c r="E29" s="456"/>
      <c r="F29" s="456"/>
      <c r="G29" s="456" t="s">
        <v>186</v>
      </c>
      <c r="H29" s="456"/>
      <c r="I29" s="456"/>
    </row>
    <row r="30" spans="2:9" ht="18" customHeight="1">
      <c r="B30" s="100"/>
      <c r="C30" s="100" t="s">
        <v>187</v>
      </c>
      <c r="D30" s="475" t="s">
        <v>188</v>
      </c>
      <c r="E30" s="475" t="s">
        <v>189</v>
      </c>
      <c r="F30" s="100" t="s">
        <v>190</v>
      </c>
      <c r="G30" s="100"/>
      <c r="H30" s="100"/>
      <c r="I30" s="100" t="s">
        <v>192</v>
      </c>
    </row>
    <row r="31" spans="2:9">
      <c r="B31" s="100" t="s">
        <v>193</v>
      </c>
      <c r="C31" s="100" t="s">
        <v>194</v>
      </c>
      <c r="D31" s="475"/>
      <c r="E31" s="475"/>
      <c r="F31" s="100" t="s">
        <v>195</v>
      </c>
      <c r="G31" s="100" t="s">
        <v>121</v>
      </c>
      <c r="H31" s="100" t="s">
        <v>191</v>
      </c>
      <c r="I31" s="100" t="s">
        <v>196</v>
      </c>
    </row>
    <row r="32" spans="2:9">
      <c r="B32" s="101" t="s">
        <v>197</v>
      </c>
      <c r="C32" s="102"/>
      <c r="D32" s="103"/>
      <c r="E32" s="104"/>
      <c r="F32" s="104"/>
      <c r="G32" s="103"/>
      <c r="H32" s="103"/>
      <c r="I32" s="103"/>
    </row>
    <row r="33" spans="2:9">
      <c r="B33" s="60" t="s">
        <v>358</v>
      </c>
      <c r="C33" s="67" t="s">
        <v>359</v>
      </c>
      <c r="D33" s="67">
        <v>1</v>
      </c>
      <c r="E33" s="52">
        <v>200000000</v>
      </c>
      <c r="F33" s="52">
        <v>1003000000</v>
      </c>
      <c r="G33" s="118">
        <v>8800000000</v>
      </c>
      <c r="H33" s="118">
        <v>0</v>
      </c>
      <c r="I33" s="118">
        <v>0</v>
      </c>
    </row>
    <row r="34" spans="2:9">
      <c r="B34" s="60"/>
      <c r="C34" s="67"/>
      <c r="D34" s="67"/>
      <c r="E34" s="53"/>
      <c r="F34" s="52"/>
      <c r="G34" s="67"/>
      <c r="H34" s="67"/>
      <c r="I34" s="67"/>
    </row>
    <row r="35" spans="2:9">
      <c r="B35" s="476" t="s">
        <v>198</v>
      </c>
      <c r="C35" s="476"/>
      <c r="D35" s="476"/>
      <c r="E35" s="194">
        <v>0</v>
      </c>
      <c r="F35" s="194">
        <f>SUM(F33:F34)</f>
        <v>1003000000</v>
      </c>
      <c r="G35" s="67"/>
      <c r="H35" s="67"/>
      <c r="I35" s="67"/>
    </row>
    <row r="36" spans="2:9">
      <c r="B36" s="477" t="s">
        <v>199</v>
      </c>
      <c r="C36" s="477"/>
      <c r="D36" s="477"/>
      <c r="E36" s="55">
        <v>0</v>
      </c>
      <c r="F36" s="68">
        <v>0</v>
      </c>
      <c r="G36" s="67"/>
      <c r="H36" s="67"/>
      <c r="I36" s="67"/>
    </row>
    <row r="38" spans="2:9">
      <c r="B38" s="158" t="s">
        <v>200</v>
      </c>
      <c r="C38" s="159"/>
      <c r="D38" s="159"/>
      <c r="E38" s="159"/>
      <c r="F38" s="159"/>
    </row>
    <row r="39" spans="2:9" ht="47.25" customHeight="1">
      <c r="B39" s="466" t="s">
        <v>629</v>
      </c>
      <c r="C39" s="466"/>
      <c r="D39" s="466"/>
      <c r="E39" s="466"/>
      <c r="F39" s="466"/>
      <c r="G39" s="32"/>
    </row>
    <row r="40" spans="2:9" ht="27" customHeight="1">
      <c r="B40" s="187" t="s">
        <v>6</v>
      </c>
      <c r="C40" s="187" t="s">
        <v>201</v>
      </c>
      <c r="D40" s="187" t="s">
        <v>202</v>
      </c>
      <c r="E40" s="187" t="s">
        <v>203</v>
      </c>
    </row>
    <row r="41" spans="2:9">
      <c r="B41" s="51" t="s">
        <v>204</v>
      </c>
      <c r="C41" s="69">
        <v>200000000</v>
      </c>
      <c r="D41" s="69"/>
      <c r="E41" s="69">
        <v>1003000000</v>
      </c>
    </row>
    <row r="42" spans="2:9">
      <c r="B42" s="51" t="s">
        <v>205</v>
      </c>
      <c r="C42" s="69">
        <v>200000000</v>
      </c>
      <c r="D42" s="69">
        <v>516375371</v>
      </c>
      <c r="E42" s="69">
        <v>1002000000</v>
      </c>
    </row>
    <row r="44" spans="2:9">
      <c r="B44" s="158" t="s">
        <v>206</v>
      </c>
      <c r="C44" s="159"/>
      <c r="D44" s="159"/>
      <c r="E44" s="159"/>
      <c r="F44" s="159"/>
    </row>
    <row r="45" spans="2:9">
      <c r="B45" s="471" t="s">
        <v>184</v>
      </c>
      <c r="C45" s="471"/>
      <c r="D45" s="471"/>
      <c r="E45" s="471"/>
      <c r="F45" s="471"/>
    </row>
    <row r="46" spans="2:9">
      <c r="B46" s="160"/>
      <c r="C46" s="159"/>
      <c r="D46" s="159"/>
      <c r="E46" s="159"/>
      <c r="F46" s="159"/>
    </row>
    <row r="47" spans="2:9">
      <c r="B47" s="478" t="s">
        <v>416</v>
      </c>
      <c r="C47" s="478"/>
      <c r="D47" s="159"/>
      <c r="E47" s="159"/>
      <c r="F47" s="159"/>
    </row>
    <row r="48" spans="2:9">
      <c r="B48" s="479" t="s">
        <v>171</v>
      </c>
      <c r="C48" s="479" t="s">
        <v>179</v>
      </c>
      <c r="D48" s="479" t="s">
        <v>207</v>
      </c>
    </row>
    <row r="49" spans="2:7" ht="6.6" customHeight="1">
      <c r="B49" s="479"/>
      <c r="C49" s="479"/>
      <c r="D49" s="479"/>
    </row>
    <row r="50" spans="2:7">
      <c r="B50" s="57" t="s">
        <v>709</v>
      </c>
      <c r="C50" s="70">
        <v>39577800</v>
      </c>
      <c r="D50" s="70">
        <v>0</v>
      </c>
    </row>
    <row r="51" spans="2:7">
      <c r="B51" s="57" t="s">
        <v>708</v>
      </c>
      <c r="C51" s="70">
        <v>6680373</v>
      </c>
      <c r="D51" s="70">
        <v>0</v>
      </c>
    </row>
    <row r="52" spans="2:7">
      <c r="B52" s="59" t="s">
        <v>208</v>
      </c>
      <c r="C52" s="71">
        <f>+C51+C50</f>
        <v>46258173</v>
      </c>
      <c r="D52" s="71">
        <f>+D51+D50</f>
        <v>0</v>
      </c>
    </row>
    <row r="54" spans="2:7">
      <c r="B54" s="158" t="s">
        <v>417</v>
      </c>
    </row>
    <row r="55" spans="2:7">
      <c r="B55" s="474" t="s">
        <v>361</v>
      </c>
      <c r="C55" s="474" t="s">
        <v>179</v>
      </c>
      <c r="D55" s="474" t="s">
        <v>207</v>
      </c>
    </row>
    <row r="56" spans="2:7">
      <c r="B56" s="474"/>
      <c r="C56" s="474"/>
      <c r="D56" s="474"/>
    </row>
    <row r="57" spans="2:7" ht="15.75">
      <c r="B57" s="72" t="s">
        <v>368</v>
      </c>
      <c r="C57" s="73">
        <v>65602943</v>
      </c>
      <c r="D57" s="73">
        <v>66661072</v>
      </c>
      <c r="E57" s="289"/>
      <c r="G57" s="14"/>
    </row>
    <row r="58" spans="2:7" ht="15.75">
      <c r="B58" s="72" t="s">
        <v>701</v>
      </c>
      <c r="C58" s="73">
        <v>120900494</v>
      </c>
      <c r="D58" s="74">
        <v>0</v>
      </c>
      <c r="E58" s="290"/>
      <c r="G58" s="14"/>
    </row>
    <row r="59" spans="2:7" ht="15.75">
      <c r="B59" s="75" t="s">
        <v>208</v>
      </c>
      <c r="C59" s="76">
        <f>SUM(C57:C58)</f>
        <v>186503437</v>
      </c>
      <c r="D59" s="76">
        <f>SUM(D57:D58)</f>
        <v>66661072</v>
      </c>
      <c r="E59" s="291"/>
      <c r="G59" s="15"/>
    </row>
    <row r="60" spans="2:7" ht="15.75">
      <c r="B60" s="273"/>
      <c r="C60" s="274"/>
      <c r="D60" s="274"/>
      <c r="E60" s="291"/>
      <c r="G60" s="15"/>
    </row>
    <row r="61" spans="2:7" ht="15.75">
      <c r="B61" s="273"/>
      <c r="C61" s="274"/>
      <c r="D61" s="274"/>
      <c r="E61" s="291"/>
      <c r="G61" s="15"/>
    </row>
    <row r="62" spans="2:7">
      <c r="B62" s="158" t="s">
        <v>625</v>
      </c>
      <c r="E62" s="292"/>
    </row>
    <row r="63" spans="2:7">
      <c r="B63" s="474" t="s">
        <v>361</v>
      </c>
      <c r="C63" s="474" t="s">
        <v>179</v>
      </c>
      <c r="D63" s="474" t="s">
        <v>207</v>
      </c>
      <c r="E63" s="292"/>
    </row>
    <row r="64" spans="2:7">
      <c r="B64" s="474"/>
      <c r="C64" s="474"/>
      <c r="D64" s="474"/>
      <c r="E64" s="292"/>
    </row>
    <row r="65" spans="2:7" ht="15.75">
      <c r="B65" s="72" t="s">
        <v>643</v>
      </c>
      <c r="C65" s="73">
        <v>147456823</v>
      </c>
      <c r="D65" s="74">
        <v>48331140</v>
      </c>
      <c r="E65" s="289"/>
      <c r="G65" s="14"/>
    </row>
    <row r="66" spans="2:7" ht="15.75">
      <c r="B66" s="72" t="s">
        <v>710</v>
      </c>
      <c r="C66" s="73">
        <v>0</v>
      </c>
      <c r="D66" s="74">
        <v>0</v>
      </c>
      <c r="E66" s="289"/>
      <c r="G66" s="14"/>
    </row>
    <row r="67" spans="2:7" ht="15.75">
      <c r="B67" s="72" t="s">
        <v>676</v>
      </c>
      <c r="C67" s="73">
        <v>0</v>
      </c>
      <c r="D67" s="74">
        <v>1036242</v>
      </c>
      <c r="E67" s="289"/>
      <c r="G67" s="14"/>
    </row>
    <row r="68" spans="2:7" ht="15.75">
      <c r="B68" s="72" t="s">
        <v>711</v>
      </c>
      <c r="C68" s="73">
        <v>0</v>
      </c>
      <c r="D68" s="74">
        <v>0</v>
      </c>
      <c r="E68" s="289"/>
      <c r="G68" s="14"/>
    </row>
    <row r="69" spans="2:7" ht="15.75">
      <c r="B69" s="72" t="s">
        <v>677</v>
      </c>
      <c r="C69" s="73">
        <v>0</v>
      </c>
      <c r="D69" s="74">
        <v>116727</v>
      </c>
      <c r="E69" s="289"/>
      <c r="G69" s="14"/>
    </row>
    <row r="70" spans="2:7" ht="15.75">
      <c r="B70" s="72" t="s">
        <v>678</v>
      </c>
      <c r="C70" s="73">
        <v>0</v>
      </c>
      <c r="D70" s="74">
        <v>199256</v>
      </c>
      <c r="E70" s="289"/>
      <c r="G70" s="14"/>
    </row>
    <row r="71" spans="2:7" ht="15.75">
      <c r="B71" s="72" t="s">
        <v>727</v>
      </c>
      <c r="C71" s="73">
        <v>453750</v>
      </c>
      <c r="D71" s="74"/>
      <c r="E71" s="289"/>
      <c r="G71" s="14"/>
    </row>
    <row r="72" spans="2:7" ht="15.75">
      <c r="B72" s="72" t="s">
        <v>712</v>
      </c>
      <c r="C72" s="73">
        <v>0</v>
      </c>
      <c r="D72" s="74">
        <v>0</v>
      </c>
      <c r="E72" s="289"/>
      <c r="G72" s="14"/>
    </row>
    <row r="73" spans="2:7" ht="15.75">
      <c r="B73" s="72" t="s">
        <v>644</v>
      </c>
      <c r="C73" s="73">
        <v>165000</v>
      </c>
      <c r="D73" s="74">
        <v>165000</v>
      </c>
      <c r="E73" s="289"/>
      <c r="G73" s="14"/>
    </row>
    <row r="74" spans="2:7" ht="15.75">
      <c r="B74" s="72" t="s">
        <v>713</v>
      </c>
      <c r="C74" s="73">
        <v>165000</v>
      </c>
      <c r="D74" s="74">
        <v>0</v>
      </c>
      <c r="E74" s="289"/>
      <c r="G74" s="14"/>
    </row>
    <row r="75" spans="2:7" ht="15.75">
      <c r="B75" s="72" t="s">
        <v>679</v>
      </c>
      <c r="C75" s="73">
        <v>0</v>
      </c>
      <c r="D75" s="74">
        <v>96850</v>
      </c>
      <c r="E75" s="289"/>
      <c r="G75" s="14"/>
    </row>
    <row r="76" spans="2:7" ht="15.75">
      <c r="B76" s="72" t="s">
        <v>680</v>
      </c>
      <c r="C76" s="73">
        <v>0</v>
      </c>
      <c r="D76" s="74">
        <v>404371</v>
      </c>
      <c r="E76" s="289"/>
      <c r="G76" s="14"/>
    </row>
    <row r="77" spans="2:7" ht="15.75">
      <c r="B77" s="72" t="s">
        <v>702</v>
      </c>
      <c r="C77" s="73">
        <v>0</v>
      </c>
      <c r="D77" s="74">
        <v>0</v>
      </c>
      <c r="E77" s="289"/>
      <c r="G77" s="14"/>
    </row>
    <row r="78" spans="2:7" ht="15.75">
      <c r="B78" s="72" t="s">
        <v>681</v>
      </c>
      <c r="C78" s="73">
        <v>0</v>
      </c>
      <c r="D78" s="74">
        <v>51350</v>
      </c>
      <c r="E78" s="289"/>
      <c r="G78" s="14"/>
    </row>
    <row r="79" spans="2:7" ht="15.75">
      <c r="B79" s="72" t="s">
        <v>533</v>
      </c>
      <c r="C79" s="73">
        <v>0</v>
      </c>
      <c r="D79" s="74">
        <v>908190</v>
      </c>
      <c r="E79" s="289"/>
      <c r="G79" s="14"/>
    </row>
    <row r="80" spans="2:7" ht="15.75">
      <c r="B80" s="72" t="s">
        <v>626</v>
      </c>
      <c r="C80" s="73">
        <v>0</v>
      </c>
      <c r="D80" s="74">
        <v>55274</v>
      </c>
      <c r="E80" s="289"/>
      <c r="G80" s="14"/>
    </row>
    <row r="81" spans="2:7" ht="15.75">
      <c r="B81" s="72" t="s">
        <v>645</v>
      </c>
      <c r="C81" s="73">
        <v>266500000</v>
      </c>
      <c r="D81" s="74">
        <v>16500000</v>
      </c>
      <c r="E81" s="289"/>
      <c r="G81" s="14"/>
    </row>
    <row r="82" spans="2:7" ht="15.75">
      <c r="B82" s="72" t="s">
        <v>537</v>
      </c>
      <c r="C82" s="73">
        <v>0</v>
      </c>
      <c r="D82" s="74">
        <v>44303.544999999998</v>
      </c>
      <c r="E82" s="289"/>
      <c r="G82" s="14"/>
    </row>
    <row r="83" spans="2:7" ht="15.75">
      <c r="B83" s="72" t="s">
        <v>682</v>
      </c>
      <c r="C83" s="73">
        <v>0</v>
      </c>
      <c r="D83" s="74">
        <v>2122252</v>
      </c>
      <c r="E83" s="289"/>
      <c r="G83" s="14"/>
    </row>
    <row r="84" spans="2:7" ht="15.75">
      <c r="B84" s="72" t="s">
        <v>683</v>
      </c>
      <c r="C84" s="73">
        <v>0</v>
      </c>
      <c r="D84" s="74">
        <v>2112656.65</v>
      </c>
      <c r="E84" s="289"/>
      <c r="G84" s="14"/>
    </row>
    <row r="85" spans="2:7" ht="15.75">
      <c r="B85" s="72" t="s">
        <v>684</v>
      </c>
      <c r="C85" s="73">
        <v>0</v>
      </c>
      <c r="D85" s="74">
        <v>96850</v>
      </c>
      <c r="E85" s="289"/>
      <c r="G85" s="14"/>
    </row>
    <row r="86" spans="2:7" ht="15.75">
      <c r="B86" s="72" t="s">
        <v>646</v>
      </c>
      <c r="C86" s="73">
        <v>0</v>
      </c>
      <c r="D86" s="74">
        <v>3321594.2110000001</v>
      </c>
      <c r="E86" s="289"/>
      <c r="G86" s="14"/>
    </row>
    <row r="87" spans="2:7" ht="15.75">
      <c r="B87" s="72" t="s">
        <v>714</v>
      </c>
      <c r="C87" s="73">
        <v>0</v>
      </c>
      <c r="D87" s="74">
        <v>0</v>
      </c>
      <c r="E87" s="289"/>
      <c r="G87" s="14"/>
    </row>
    <row r="88" spans="2:7" ht="15.75">
      <c r="B88" s="72" t="s">
        <v>647</v>
      </c>
      <c r="C88" s="73">
        <v>0</v>
      </c>
      <c r="D88" s="74">
        <v>0</v>
      </c>
      <c r="E88" s="289"/>
      <c r="G88" s="14"/>
    </row>
    <row r="89" spans="2:7" ht="15.75">
      <c r="B89" s="72" t="s">
        <v>685</v>
      </c>
      <c r="C89" s="73">
        <v>0</v>
      </c>
      <c r="D89" s="74">
        <v>407885.53</v>
      </c>
      <c r="E89" s="289"/>
      <c r="G89" s="14"/>
    </row>
    <row r="90" spans="2:7" ht="15.75">
      <c r="B90" s="72" t="s">
        <v>576</v>
      </c>
      <c r="C90" s="73">
        <v>0</v>
      </c>
      <c r="D90" s="74">
        <v>8941</v>
      </c>
      <c r="E90" s="289"/>
      <c r="G90" s="14"/>
    </row>
    <row r="91" spans="2:7" ht="15.75">
      <c r="B91" s="72" t="s">
        <v>576</v>
      </c>
      <c r="C91" s="73">
        <v>0</v>
      </c>
      <c r="D91" s="74">
        <v>0</v>
      </c>
      <c r="E91" s="289"/>
      <c r="G91" s="14"/>
    </row>
    <row r="92" spans="2:7" ht="15.75">
      <c r="B92" s="72" t="s">
        <v>686</v>
      </c>
      <c r="C92" s="73">
        <v>0</v>
      </c>
      <c r="D92" s="74">
        <v>1012493</v>
      </c>
      <c r="E92" s="289"/>
      <c r="G92" s="14"/>
    </row>
    <row r="93" spans="2:7" ht="15.75">
      <c r="B93" s="72" t="s">
        <v>690</v>
      </c>
      <c r="C93" s="73">
        <v>0</v>
      </c>
      <c r="D93" s="74">
        <v>0</v>
      </c>
      <c r="E93" s="289"/>
      <c r="G93" s="14"/>
    </row>
    <row r="94" spans="2:7" ht="15.75">
      <c r="B94" s="72" t="s">
        <v>687</v>
      </c>
      <c r="C94" s="73">
        <v>0</v>
      </c>
      <c r="D94" s="74">
        <v>277430</v>
      </c>
      <c r="E94" s="289"/>
      <c r="G94" s="14"/>
    </row>
    <row r="95" spans="2:7" ht="15.75">
      <c r="B95" s="72" t="s">
        <v>688</v>
      </c>
      <c r="C95" s="73">
        <v>0</v>
      </c>
      <c r="D95" s="74">
        <v>235870.609</v>
      </c>
      <c r="E95" s="289"/>
      <c r="G95" s="14"/>
    </row>
    <row r="96" spans="2:7" ht="15.75">
      <c r="B96" s="72" t="s">
        <v>647</v>
      </c>
      <c r="C96" s="73">
        <v>0</v>
      </c>
      <c r="D96" s="74">
        <v>205759620</v>
      </c>
      <c r="E96" s="289"/>
      <c r="G96" s="14"/>
    </row>
    <row r="97" spans="2:7" ht="15.75">
      <c r="B97" s="72" t="s">
        <v>689</v>
      </c>
      <c r="C97" s="73">
        <v>0</v>
      </c>
      <c r="D97" s="74">
        <v>1112338</v>
      </c>
      <c r="E97" s="289"/>
      <c r="G97" s="14"/>
    </row>
    <row r="98" spans="2:7" ht="15.75">
      <c r="B98" s="72" t="s">
        <v>690</v>
      </c>
      <c r="C98" s="73">
        <v>0</v>
      </c>
      <c r="D98" s="74">
        <v>2413627.84</v>
      </c>
      <c r="E98" s="289"/>
      <c r="G98" s="14"/>
    </row>
    <row r="99" spans="2:7" ht="15.75">
      <c r="B99" s="72" t="s">
        <v>627</v>
      </c>
      <c r="C99" s="73">
        <v>99000000</v>
      </c>
      <c r="D99" s="74">
        <v>88000000</v>
      </c>
      <c r="E99" s="289"/>
      <c r="G99" s="14"/>
    </row>
    <row r="100" spans="2:7" ht="15.75">
      <c r="B100" s="72" t="s">
        <v>691</v>
      </c>
      <c r="C100" s="73">
        <v>0</v>
      </c>
      <c r="D100" s="74">
        <v>422531.33</v>
      </c>
      <c r="E100" s="289"/>
      <c r="G100" s="14"/>
    </row>
    <row r="101" spans="2:7" ht="15.75">
      <c r="B101" s="72" t="s">
        <v>692</v>
      </c>
      <c r="C101" s="73">
        <v>0</v>
      </c>
      <c r="D101" s="74">
        <v>9531</v>
      </c>
      <c r="E101" s="289"/>
      <c r="G101" s="14"/>
    </row>
    <row r="102" spans="2:7" ht="15.75">
      <c r="B102" s="72" t="s">
        <v>754</v>
      </c>
      <c r="C102" s="73">
        <v>0</v>
      </c>
      <c r="D102" s="74">
        <v>1869692.56</v>
      </c>
      <c r="E102" s="289"/>
      <c r="G102" s="14"/>
    </row>
    <row r="103" spans="2:7" ht="15.75">
      <c r="B103" s="72" t="s">
        <v>648</v>
      </c>
      <c r="C103" s="73">
        <v>23173097</v>
      </c>
      <c r="D103" s="73">
        <v>23173097</v>
      </c>
      <c r="E103" s="289"/>
      <c r="G103" s="14"/>
    </row>
    <row r="104" spans="2:7" ht="15.75">
      <c r="B104" s="72" t="s">
        <v>728</v>
      </c>
      <c r="C104" s="73">
        <v>1218467.2224999999</v>
      </c>
      <c r="D104" s="74">
        <v>0</v>
      </c>
      <c r="E104" s="289"/>
      <c r="G104" s="14"/>
    </row>
    <row r="105" spans="2:7" ht="15.75">
      <c r="B105" s="72" t="s">
        <v>538</v>
      </c>
      <c r="C105" s="73">
        <v>0</v>
      </c>
      <c r="D105" s="74">
        <v>257546.39300000001</v>
      </c>
      <c r="E105" s="289"/>
      <c r="G105" s="14"/>
    </row>
    <row r="106" spans="2:7" ht="15.75">
      <c r="B106" s="72" t="s">
        <v>649</v>
      </c>
      <c r="C106" s="73">
        <v>0</v>
      </c>
      <c r="D106" s="74">
        <v>96850</v>
      </c>
      <c r="E106" s="289"/>
      <c r="G106" s="14"/>
    </row>
    <row r="107" spans="2:7" ht="15.75">
      <c r="B107" s="72" t="s">
        <v>650</v>
      </c>
      <c r="C107" s="73">
        <f>79899490-19949</f>
        <v>79879541</v>
      </c>
      <c r="D107" s="74">
        <v>81031900</v>
      </c>
      <c r="E107" s="289"/>
      <c r="G107" s="14"/>
    </row>
    <row r="108" spans="2:7" ht="15.75">
      <c r="B108" s="72" t="s">
        <v>651</v>
      </c>
      <c r="C108" s="73">
        <v>165000</v>
      </c>
      <c r="D108" s="74">
        <v>18541524.634</v>
      </c>
      <c r="E108" s="289"/>
      <c r="G108" s="14"/>
    </row>
    <row r="109" spans="2:7" ht="15.75">
      <c r="B109" s="72" t="s">
        <v>693</v>
      </c>
      <c r="C109" s="73">
        <v>0</v>
      </c>
      <c r="D109" s="74">
        <v>1030784</v>
      </c>
      <c r="E109" s="289"/>
      <c r="G109" s="14"/>
    </row>
    <row r="110" spans="2:7" ht="15.75">
      <c r="B110" s="72" t="s">
        <v>670</v>
      </c>
      <c r="C110" s="73">
        <v>0</v>
      </c>
      <c r="D110" s="74">
        <v>0</v>
      </c>
      <c r="E110" s="34"/>
      <c r="G110" s="14"/>
    </row>
    <row r="111" spans="2:7" ht="15.75">
      <c r="B111" s="75" t="s">
        <v>208</v>
      </c>
      <c r="C111" s="76">
        <f>SUM(C65:C110)</f>
        <v>618176678.22249997</v>
      </c>
      <c r="D111" s="76">
        <f>SUM(D65:D110)</f>
        <v>501223719.30199999</v>
      </c>
      <c r="E111" s="27"/>
      <c r="G111" s="15"/>
    </row>
    <row r="112" spans="2:7" ht="15.75">
      <c r="B112" s="273"/>
      <c r="C112" s="274"/>
      <c r="D112" s="274"/>
      <c r="E112" s="27"/>
      <c r="G112" s="15"/>
    </row>
    <row r="113" spans="2:14" ht="15.75">
      <c r="B113" s="273"/>
      <c r="C113" s="274"/>
      <c r="D113" s="274">
        <v>0</v>
      </c>
      <c r="E113" s="27"/>
      <c r="G113" s="15"/>
    </row>
    <row r="114" spans="2:14" ht="15.75">
      <c r="B114" s="273"/>
      <c r="C114" s="274"/>
      <c r="D114" s="274"/>
      <c r="E114" s="27"/>
      <c r="G114" s="15"/>
    </row>
    <row r="116" spans="2:14">
      <c r="B116" s="158" t="s">
        <v>209</v>
      </c>
    </row>
    <row r="117" spans="2:14">
      <c r="B117" s="473" t="s">
        <v>210</v>
      </c>
      <c r="C117" s="473" t="s">
        <v>211</v>
      </c>
      <c r="D117" s="473"/>
      <c r="E117" s="473"/>
      <c r="F117" s="473"/>
      <c r="G117" s="473"/>
      <c r="H117" s="473" t="s">
        <v>212</v>
      </c>
      <c r="I117" s="473"/>
      <c r="J117" s="473"/>
      <c r="K117" s="473"/>
      <c r="L117" s="473"/>
      <c r="M117" s="473"/>
      <c r="N117" s="3"/>
    </row>
    <row r="118" spans="2:14">
      <c r="B118" s="473"/>
      <c r="C118" s="473" t="s">
        <v>213</v>
      </c>
      <c r="D118" s="473" t="s">
        <v>214</v>
      </c>
      <c r="E118" s="473" t="s">
        <v>215</v>
      </c>
      <c r="F118" s="473" t="s">
        <v>216</v>
      </c>
      <c r="G118" s="473" t="s">
        <v>217</v>
      </c>
      <c r="H118" s="473" t="s">
        <v>218</v>
      </c>
      <c r="I118" s="473" t="s">
        <v>214</v>
      </c>
      <c r="J118" s="473" t="s">
        <v>215</v>
      </c>
      <c r="K118" s="473" t="s">
        <v>219</v>
      </c>
      <c r="L118" s="473" t="s">
        <v>220</v>
      </c>
      <c r="M118" s="473" t="s">
        <v>221</v>
      </c>
      <c r="N118" s="3"/>
    </row>
    <row r="119" spans="2:14">
      <c r="B119" s="473"/>
      <c r="C119" s="473"/>
      <c r="D119" s="473"/>
      <c r="E119" s="473"/>
      <c r="F119" s="473"/>
      <c r="G119" s="473"/>
      <c r="H119" s="473"/>
      <c r="I119" s="473"/>
      <c r="J119" s="473"/>
      <c r="K119" s="473"/>
      <c r="L119" s="473"/>
      <c r="M119" s="473"/>
      <c r="N119" s="3"/>
    </row>
    <row r="120" spans="2:14">
      <c r="B120" s="473"/>
      <c r="C120" s="473"/>
      <c r="D120" s="473"/>
      <c r="E120" s="473"/>
      <c r="F120" s="473"/>
      <c r="G120" s="473"/>
      <c r="H120" s="473"/>
      <c r="I120" s="473"/>
      <c r="J120" s="473"/>
      <c r="K120" s="473"/>
      <c r="L120" s="473"/>
      <c r="M120" s="473"/>
      <c r="N120" s="3"/>
    </row>
    <row r="121" spans="2:14">
      <c r="B121" s="50" t="s">
        <v>222</v>
      </c>
      <c r="C121" s="257">
        <f>112596933</f>
        <v>112596933</v>
      </c>
      <c r="D121" s="257">
        <v>0</v>
      </c>
      <c r="E121" s="257">
        <v>0</v>
      </c>
      <c r="F121" s="257">
        <v>0</v>
      </c>
      <c r="G121" s="257">
        <f>+D121+C121</f>
        <v>112596933</v>
      </c>
      <c r="H121" s="257">
        <v>85812909.1407924</v>
      </c>
      <c r="I121" s="257">
        <v>5229520.0151997013</v>
      </c>
      <c r="J121" s="257">
        <v>0</v>
      </c>
      <c r="K121" s="257">
        <v>0</v>
      </c>
      <c r="L121" s="257">
        <f>SUM(H121:K121)</f>
        <v>91042429.155992106</v>
      </c>
      <c r="M121" s="257">
        <f>+G121-L121</f>
        <v>21554503.844007894</v>
      </c>
      <c r="N121" s="3"/>
    </row>
    <row r="122" spans="2:14">
      <c r="B122" s="50" t="s">
        <v>334</v>
      </c>
      <c r="C122" s="257">
        <v>145075599</v>
      </c>
      <c r="D122" s="257">
        <v>9129060</v>
      </c>
      <c r="E122" s="257">
        <v>0</v>
      </c>
      <c r="F122" s="257">
        <v>0</v>
      </c>
      <c r="G122" s="257">
        <f>SUM(C122:F122)</f>
        <v>154204659</v>
      </c>
      <c r="H122" s="257">
        <v>137046881.89604154</v>
      </c>
      <c r="I122" s="257">
        <v>5409542.25</v>
      </c>
      <c r="J122" s="257">
        <v>0</v>
      </c>
      <c r="K122" s="257">
        <v>0</v>
      </c>
      <c r="L122" s="257">
        <f>SUM(H122:K122)</f>
        <v>142456424.14604154</v>
      </c>
      <c r="M122" s="257">
        <f>+G122-L122</f>
        <v>11748234.853958458</v>
      </c>
      <c r="N122" s="3"/>
    </row>
    <row r="123" spans="2:14">
      <c r="B123" s="50" t="s">
        <v>335</v>
      </c>
      <c r="C123" s="257">
        <v>0</v>
      </c>
      <c r="D123" s="257">
        <v>0</v>
      </c>
      <c r="E123" s="257">
        <f>-C123</f>
        <v>0</v>
      </c>
      <c r="F123" s="257">
        <v>0</v>
      </c>
      <c r="G123" s="257">
        <f>SUM(C123:F123)</f>
        <v>0</v>
      </c>
      <c r="H123" s="257">
        <v>0</v>
      </c>
      <c r="I123" s="257">
        <v>0</v>
      </c>
      <c r="J123" s="257">
        <f>-H123</f>
        <v>0</v>
      </c>
      <c r="K123" s="257">
        <v>0</v>
      </c>
      <c r="L123" s="257">
        <f>SUM(H123:K123)</f>
        <v>0</v>
      </c>
      <c r="M123" s="257">
        <f>+G123-L123</f>
        <v>0</v>
      </c>
      <c r="N123" s="3"/>
    </row>
    <row r="124" spans="2:14">
      <c r="B124" s="77" t="s">
        <v>223</v>
      </c>
      <c r="C124" s="49">
        <f>SUM(C121:C123)</f>
        <v>257672532</v>
      </c>
      <c r="D124" s="49">
        <f t="shared" ref="D124:K124" si="0">SUM(D121:D123)</f>
        <v>9129060</v>
      </c>
      <c r="E124" s="49">
        <f t="shared" si="0"/>
        <v>0</v>
      </c>
      <c r="F124" s="49">
        <f t="shared" si="0"/>
        <v>0</v>
      </c>
      <c r="G124" s="49">
        <f>SUM(G121:G123)</f>
        <v>266801592</v>
      </c>
      <c r="H124" s="49">
        <f>SUM(H121:H123)</f>
        <v>222859791.03683394</v>
      </c>
      <c r="I124" s="49">
        <f t="shared" si="0"/>
        <v>10639062.265199702</v>
      </c>
      <c r="J124" s="49">
        <f t="shared" si="0"/>
        <v>0</v>
      </c>
      <c r="K124" s="49">
        <f t="shared" si="0"/>
        <v>0</v>
      </c>
      <c r="L124" s="49">
        <f>SUM(L121:L123)</f>
        <v>233498853.30203366</v>
      </c>
      <c r="M124" s="49">
        <f>+G124-L124-9</f>
        <v>33302729.697966337</v>
      </c>
      <c r="N124" s="3"/>
    </row>
    <row r="125" spans="2:14">
      <c r="B125" s="77" t="s">
        <v>224</v>
      </c>
      <c r="C125" s="49">
        <f>+C124</f>
        <v>257672532</v>
      </c>
      <c r="D125" s="49">
        <v>0</v>
      </c>
      <c r="E125" s="49">
        <v>0</v>
      </c>
      <c r="F125" s="49">
        <v>0</v>
      </c>
      <c r="G125" s="49">
        <f>+C125</f>
        <v>257672532</v>
      </c>
      <c r="H125" s="49">
        <f>+H124</f>
        <v>222859791.03683394</v>
      </c>
      <c r="I125" s="49" t="s">
        <v>137</v>
      </c>
      <c r="J125" s="49" t="s">
        <v>137</v>
      </c>
      <c r="K125" s="49">
        <v>0</v>
      </c>
      <c r="L125" s="49">
        <f>+K125+H125</f>
        <v>222859791.03683394</v>
      </c>
      <c r="M125" s="49">
        <f>+G125-L125</f>
        <v>34812740.963166058</v>
      </c>
      <c r="N125" s="3"/>
    </row>
    <row r="128" spans="2:14">
      <c r="B128" s="163" t="s">
        <v>225</v>
      </c>
    </row>
    <row r="129" spans="2:7">
      <c r="B129" s="1"/>
    </row>
    <row r="130" spans="2:7">
      <c r="B130" s="472" t="s">
        <v>361</v>
      </c>
      <c r="C130" s="472" t="s">
        <v>179</v>
      </c>
      <c r="D130" s="472" t="s">
        <v>207</v>
      </c>
    </row>
    <row r="131" spans="2:7" ht="9.6" customHeight="1">
      <c r="B131" s="472"/>
      <c r="C131" s="472"/>
      <c r="D131" s="472"/>
    </row>
    <row r="132" spans="2:7" ht="15.75">
      <c r="B132" s="72" t="s">
        <v>379</v>
      </c>
      <c r="C132" s="73">
        <v>0</v>
      </c>
      <c r="D132" s="74">
        <v>0</v>
      </c>
      <c r="E132" s="34">
        <v>15</v>
      </c>
      <c r="G132" s="14"/>
    </row>
    <row r="133" spans="2:7" ht="15.75">
      <c r="B133" s="72" t="s">
        <v>379</v>
      </c>
      <c r="C133" s="73">
        <v>0</v>
      </c>
      <c r="D133" s="74">
        <v>0</v>
      </c>
      <c r="E133" s="34"/>
      <c r="G133" s="14"/>
    </row>
    <row r="134" spans="2:7" ht="15.75">
      <c r="B134" s="72"/>
      <c r="C134" s="73">
        <f>SUM(C132:C133)</f>
        <v>0</v>
      </c>
      <c r="D134" s="73">
        <f>SUM(D132:D133)</f>
        <v>0</v>
      </c>
      <c r="E134" s="34"/>
      <c r="G134" s="14"/>
    </row>
    <row r="135" spans="2:7" ht="15" customHeight="1">
      <c r="B135" s="8"/>
    </row>
    <row r="136" spans="2:7" ht="15.75" customHeight="1"/>
  </sheetData>
  <sortState xmlns:xlrd2="http://schemas.microsoft.com/office/spreadsheetml/2017/richdata2" ref="B66:D109">
    <sortCondition ref="B65:B109"/>
  </sortState>
  <mergeCells count="40">
    <mergeCell ref="M118:M120"/>
    <mergeCell ref="B48:B49"/>
    <mergeCell ref="C48:C49"/>
    <mergeCell ref="D48:D49"/>
    <mergeCell ref="L118:L120"/>
    <mergeCell ref="H117:M117"/>
    <mergeCell ref="C118:C120"/>
    <mergeCell ref="D118:D120"/>
    <mergeCell ref="E118:E120"/>
    <mergeCell ref="J118:J120"/>
    <mergeCell ref="K118:K120"/>
    <mergeCell ref="B63:B64"/>
    <mergeCell ref="C63:C64"/>
    <mergeCell ref="D63:D64"/>
    <mergeCell ref="G29:I29"/>
    <mergeCell ref="D30:D31"/>
    <mergeCell ref="E30:E31"/>
    <mergeCell ref="B35:D35"/>
    <mergeCell ref="F118:F120"/>
    <mergeCell ref="G118:G120"/>
    <mergeCell ref="C117:G117"/>
    <mergeCell ref="H118:H120"/>
    <mergeCell ref="I118:I120"/>
    <mergeCell ref="C55:C56"/>
    <mergeCell ref="D55:D56"/>
    <mergeCell ref="B36:D36"/>
    <mergeCell ref="B39:F39"/>
    <mergeCell ref="B45:F45"/>
    <mergeCell ref="B47:C47"/>
    <mergeCell ref="B130:B131"/>
    <mergeCell ref="C130:C131"/>
    <mergeCell ref="D130:D131"/>
    <mergeCell ref="B29:F29"/>
    <mergeCell ref="B117:B120"/>
    <mergeCell ref="B55:B56"/>
    <mergeCell ref="B4:E4"/>
    <mergeCell ref="B6:B7"/>
    <mergeCell ref="C6:C7"/>
    <mergeCell ref="D6:D7"/>
    <mergeCell ref="B27:D27"/>
  </mergeCells>
  <pageMargins left="0.70866141732283472" right="0.70866141732283472" top="0.74803149606299213" bottom="0.74803149606299213" header="0.31496062992125984" footer="0.31496062992125984"/>
  <pageSetup scale="41"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fulBzFhTdLboLpcTMdG3CTxkxuVhahtLWyDuNItBFAExObpfvXVf9vR6HSHt2xbnvS4kwJ1MNC+k
1V9M/9xvew==</DigestValue>
    </Reference>
    <Reference Type="http://www.w3.org/2000/09/xmldsig#Object" URI="#idOfficeObject">
      <DigestMethod Algorithm="http://www.w3.org/2001/04/xmlenc#sha512"/>
      <DigestValue>Pr1i4+p5FcKRq0snG4YXVgE2+aCUEnGTBbsusiJN7l0LeQrVITgEIfmQq8s6JGd3TvPNTKF7cKrG
2TwTVbbshQ==</DigestValue>
    </Reference>
    <Reference Type="http://uri.etsi.org/01903#SignedProperties" URI="#idSignedProperties">
      <Transforms>
        <Transform Algorithm="http://www.w3.org/TR/2001/REC-xml-c14n-20010315"/>
      </Transforms>
      <DigestMethod Algorithm="http://www.w3.org/2001/04/xmlenc#sha512"/>
      <DigestValue>ehMD7X6E6WH5Ir7C3FXGwahhqNNzWyee+xMplI4TTs1grdGyXwZ8CXiLDYiLwWuVDLhgpJ8lR9f/
8bo3GcOIag==</DigestValue>
    </Reference>
  </SignedInfo>
  <SignatureValue>G0uRy02KVdU5grD3inl3ubtg4Uf7EjoH3S+IpCS0wPUzcKSW5fcqHU2vNUddOsCUdmaB6pgVuy5H
mbP7PrhI4kk1IsZqQO68DMxF/qJJnmru3bdGfb4O+33E2naBTmpSOtWj4eN4NQyXW56R21XqUYuk
LkC5FrRLTiKj1UXTSY8RzlLDQZ8HM/hIuMyPf9D038p8tDHgxT+qu7oDxrVhToo653CXOf/SVHoc
Ed/yDD6oxO+IRsEw7v1/+5+S2GtvinU0p4kqqeO7DaXAmedMzpC7eMvMWS0be603GQHEUwclE/Ku
9zuCj0mVO66PgQ6uPQSzUpAr0EKNRJGERG8BIg==</SignatureValue>
  <KeyInfo>
    <X509Data>
      <X509Certificate>MIIHsTCCBZmgAwIBAgIRANeoWG7pko+GTmEfYzKtYo0wDQYJKoZIhvcNAQENBQAwgYUxCzAJBgNVBAYTAlBZMQ0wCwYDVQQKEwRJQ1BQMTgwNgYDVQQLEy9QcmVzdGFkb3IgQ3VhbGlmaWNhZG8gZGUgU2VydmljaW9zIGRlIENvbmZpYW56YTEVMBMGA1UEAxMMQ09ERTEwMCBTLkEuMRYwFAYDVQQFEw1SVUM4MDA4MDYxMC03MB4XDTIzMDcyNzE5MTAzNloXDTI1MDcyNzE5MTAzNl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DYu7xtcgK+A7l5jFA7ROLNukX+pNjnMPTq03v5eu2US8GHWk0SeL+Mvg0SiVINS+EdjMT9hGDMdvw6I7B+GtDP6KsGQW8RK9KyS744IkI7bPPlszop/ye9sVPJiqKa6EXtSZNOBA3gozBcErVoPWcAi64Ism052hcUp8uiP2Y4y4JgJ5iMHUvnsFU86pKesB0fw248jFqDM08lXCzSKS4tkBFGKSvEIDnyCi44WyuEX6iimlS3wFN76QVGY35jVdIfzy1lfZpU7fLk99L6SKF+Y/Lujrh0ufCLddSUWg0xrWZadDoD3vkDO43rqs4JBPRrE7/l2AS8mVbxd8W7zs4jAgMBAAGjggLaMIIC1jAMBgNVHRMBAf8EAjAAMB0GA1UdDgQWBBRRKN27eArg3d8ZsFaxrB0bAJVGh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NnMIjJnVm+hZaDBhvEjAIo8ydVQDurmlf7Is0q2TbIwD1Q/2J7x/WnTFGi5LA1Xg7irO+GxlWET0X66r0zNuci+DB46VQIupidcSWBSVPhlKP+kqL6RYbRZxGaQnG6SFD6PV5fG5XBWu7Cu8Pq8YEDQtqZG/hzHh40DsNyF/h6hIgQzJ4uSLpBjJV7HWZGy1h8k4ebcHn2cFKBtH9suFAkRT2l/hYwM5xi5VLp+uqK9qRqhrgTG6OC9jjuEZQnri6Fv+thUz4nPYATusPMFZtjixIsAzCPylFbonZU6BK9Z4ubF3w3HWypW2LNtTRWNfetVHRJDqdC8exsKNvlcEkxgxLSc6n5GN/etPs3LNm5tiZrdGN4fK0fvc3P7RMugwzXePhmd5eEU3IDaaJ2eslNPC3kma4dOpDkPMdxuMGiNuRjbd1n1rV3FTj70yo1MM3nrHOZOkwLnFPEHr8ROO9dDfXu/oxDMNfvGHB3HMYUzSBU1/x7D/In2tB2osRsdqJbfExDs1SFbbVJF4Th1+pUPCmoAJgIGqIpeBO7qzMufT/B7xR30N9wOpbFWOY9DMlMpCWxC7uEJuBjbIYpebznT4vukkGwiMlqvD0+2bG5tqHvAbTZ0YVbpfzJ3CYbu2X1RoGM11WPMQL0zWbRQ91Z4544sJGIQxIjs5PbToD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512"/>
        <DigestValue>KN72y0ON+DpTlmUG0l09tiO3KtF3VuQ5K9yesJJzIDrYor8ptZxpSgmx8HgWW2I7FddOHFGoJ2nanGCzYcC6wQ==</DigestValue>
      </Reference>
      <Reference URI="/xl/calcChain.xml?ContentType=application/vnd.openxmlformats-officedocument.spreadsheetml.calcChain+xml">
        <DigestMethod Algorithm="http://www.w3.org/2001/04/xmlenc#sha512"/>
        <DigestValue>NGY8TRXaBPpPgVDztJgaCVycztWZjcb9wYdoQB5/g4DtMYXnhndlKNh3GqDz75GaVpjl24cHSm/Kqz4y561imw==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drawing1.xml?ContentType=application/vnd.openxmlformats-officedocument.drawing+xml">
        <DigestMethod Algorithm="http://www.w3.org/2001/04/xmlenc#sha512"/>
        <DigestValue>mk/1fe8SwRJG2EXKq0fUMIfPAl3FS6xRuaVrZ/IH3jxIJmoWCTcO5cG9PgoJgfpLP4oafRobtvMafPJH8yIOjA==</DigestValue>
      </Reference>
      <Reference URI="/xl/media/image1.png?ContentType=image/png">
        <DigestMethod Algorithm="http://www.w3.org/2001/04/xmlenc#sha512"/>
        <DigestValue>sGnGlaB3VK7Fhq86u6kcy/9OgajIuQHPQKbDinyEKSl5D4YPw9rUKi6SWqIKYBjts7kA/Gu4azKrYukz5mRb6A==</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0.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3.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4.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67laqE1rOv9Z8EPuTh+wmwJgop8TjqbxhOD0jOfEvCL529rlhXm4FfZIpOa54sBvvujSwiVh0/Lh3hm0aTQxuw==</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3JA5iK7ymZeCz4WoVqqrPGQtffiv3z/oacJGIWd+NllfCxP4dKgNnLKwxjPi1304hRKvOF4KVwqbIwGz+RQ9FA==</DigestValue>
      </Reference>
      <Reference URI="/xl/printerSettings/printerSettings7.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8.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9.bin?ContentType=application/vnd.openxmlformats-officedocument.spreadsheetml.printerSettings">
        <DigestMethod Algorithm="http://www.w3.org/2001/04/xmlenc#sha512"/>
        <DigestValue>x8fsyKeU29XV4Vjxz2IBl3tNm7mETrTYXD1lAZQaW4LdoVxiE01ElAu9AbJzamW6iUbiSZEZIFL8tY6DvofucQ==</DigestValue>
      </Reference>
      <Reference URI="/xl/sharedStrings.xml?ContentType=application/vnd.openxmlformats-officedocument.spreadsheetml.sharedStrings+xml">
        <DigestMethod Algorithm="http://www.w3.org/2001/04/xmlenc#sha512"/>
        <DigestValue>J/7t0JP1al7jbXgMO1K/W5HgbKUmhI+lW84qxWlarMxY7MZgkKr8PpE//wxEeB5f5QJ+8wAVTuxbq4fVEtsWyw==</DigestValue>
      </Reference>
      <Reference URI="/xl/styles.xml?ContentType=application/vnd.openxmlformats-officedocument.spreadsheetml.styles+xml">
        <DigestMethod Algorithm="http://www.w3.org/2001/04/xmlenc#sha512"/>
        <DigestValue>C36YUXOXEtdWopmo52QV3ojD4TswJeiFzmTLRG5ZkAN3F3E4xC7WeG6nh5JV3EkJQbgd3uoxfQOemeM5QhNfTw==</DigestValue>
      </Reference>
      <Reference URI="/xl/theme/theme1.xml?ContentType=application/vnd.openxmlformats-officedocument.theme+xml">
        <DigestMethod Algorithm="http://www.w3.org/2001/04/xmlenc#sha512"/>
        <DigestValue>4YX2YO+IwmgIeCECjAosqkC1WFa32CrS3Sh3aZEhxqcaHn9KH9PPnkmaIj0MdutZXGL72V/ex+TpWUL+O5V2kQ==</DigestValue>
      </Reference>
      <Reference URI="/xl/workbook.xml?ContentType=application/vnd.openxmlformats-officedocument.spreadsheetml.sheet.main+xml">
        <DigestMethod Algorithm="http://www.w3.org/2001/04/xmlenc#sha512"/>
        <DigestValue>y5U8aMFY1+I5uxVWXsxP/cnqSkePFiiD9+s1gI19GRXhui8qt5wElT0NSUvh9yQgxrdf2yipmzwc49O7leAgXQ==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RMTbTS9KDPzl5gZVwBN+WnYlTthstSMkvSCyJ/0bLFF7OIQ1EGFaWZMwKE97ITlZg+h8cArM0WFWiJjG88dHZQ==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9Ybkyr4x1pgKK1vc/COgizxGpPm8MIooOax5BqI4Z0YrVw6BVYmzUcPStphcXDbnD/xYUk++j+pL9uE8vGKVpw==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f+EmU15wY0uaGN3B3i6RbOg17LdjV9J91hrQYBzq0zwVbYePPIuxcaRH1N+Mv/6k3dIiJSvE+XkDUllpGkHhjQ==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Zk2ic4JqlIrKpgRkhaX4deVHHZJe/D3pGldOnJc7k6fu476R3FrEXRQSGOSciEMrgpzlbhfL0atfhpfluOK9Xw==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uifXjk/ic7ohFQmCwNbBB6R11ocTSCI/Zn92wkFYJV6RTe4ZWFJRtCSHIXwgSTnywQrVlCQP0xdDkfKnqPeJjA==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LUq/3XJmkISgBnELhVekBJN0Xr4EBVNaTdEBzrfh9AuwmWDWbHF6dZwnA3RZQ4brb/WBiWlf3i14rA3ZFUZDlQ==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gMAYCtdjsXxVjD1BBZDvY+Pi2WXJZy+yuhXHdPUgNlt+f5D2Ee18rq8E6DgMlFJsGiJWvYfxzo+rXz/RgXijkA==</DigestValue>
      </Reference>
      <Reference URI="/xl/worksheets/sheet1.xml?ContentType=application/vnd.openxmlformats-officedocument.spreadsheetml.worksheet+xml">
        <DigestMethod Algorithm="http://www.w3.org/2001/04/xmlenc#sha512"/>
        <DigestValue>amqazJXY3SyBW69ZVPStNM6QRhdrkfeh3HvifmZbpxntICel8Ix6OaXhDS8PUwZuQz8CeVLiqa+c27nXltLRLg==</DigestValue>
      </Reference>
      <Reference URI="/xl/worksheets/sheet10.xml?ContentType=application/vnd.openxmlformats-officedocument.spreadsheetml.worksheet+xml">
        <DigestMethod Algorithm="http://www.w3.org/2001/04/xmlenc#sha512"/>
        <DigestValue>McD1i7KbrqhTjdekcELwiU2r60rx2BOnXWVU8mA34SPzfMMmhGhjKdssOceBy31McTJgyWwCEvvN+wWukpWlgQ==</DigestValue>
      </Reference>
      <Reference URI="/xl/worksheets/sheet11.xml?ContentType=application/vnd.openxmlformats-officedocument.spreadsheetml.worksheet+xml">
        <DigestMethod Algorithm="http://www.w3.org/2001/04/xmlenc#sha512"/>
        <DigestValue>VYw1H16HwjyRJ7t3X8kGeNYRzewCP4GgeqMV/dULnGt3bYk4DsUPNtHTt6JfKiYnP9kZlEdQG6tY8OuJ8by13w==</DigestValue>
      </Reference>
      <Reference URI="/xl/worksheets/sheet12.xml?ContentType=application/vnd.openxmlformats-officedocument.spreadsheetml.worksheet+xml">
        <DigestMethod Algorithm="http://www.w3.org/2001/04/xmlenc#sha512"/>
        <DigestValue>poGfZJpliMCvEXT4gn0yQ3R9v+HvlwMg5/0s09z+zj6NlXVcOVFxVnAM4qOfhd9/J2uGpIWpu/XnrMGEHiqVGQ==</DigestValue>
      </Reference>
      <Reference URI="/xl/worksheets/sheet13.xml?ContentType=application/vnd.openxmlformats-officedocument.spreadsheetml.worksheet+xml">
        <DigestMethod Algorithm="http://www.w3.org/2001/04/xmlenc#sha512"/>
        <DigestValue>MdbieX0CjQlRoCTXu1dZs3dqhk3tvBsAFXxsQ9uzpcHO8UDrtMacZX/31aTG9fwB6fp11ygDgla/5zvb+2bX1g==</DigestValue>
      </Reference>
      <Reference URI="/xl/worksheets/sheet14.xml?ContentType=application/vnd.openxmlformats-officedocument.spreadsheetml.worksheet+xml">
        <DigestMethod Algorithm="http://www.w3.org/2001/04/xmlenc#sha512"/>
        <DigestValue>D0YtBju3HR1VWCIVejqtQvHihC7Rdli0b5rkqFa4imMHaE/Jfpq+aiPPi9+du8ZWeijD9m6a4MuQZxqL9+RUcA==</DigestValue>
      </Reference>
      <Reference URI="/xl/worksheets/sheet2.xml?ContentType=application/vnd.openxmlformats-officedocument.spreadsheetml.worksheet+xml">
        <DigestMethod Algorithm="http://www.w3.org/2001/04/xmlenc#sha512"/>
        <DigestValue>Gf/a0ZHU+FjNpNkD4irAd0BrgjVU51Nx0lSRSvt5OVcKwKj67j6THCQXtL4ndCcRuALp/sMCJGsjd0kHMWzTmw==</DigestValue>
      </Reference>
      <Reference URI="/xl/worksheets/sheet3.xml?ContentType=application/vnd.openxmlformats-officedocument.spreadsheetml.worksheet+xml">
        <DigestMethod Algorithm="http://www.w3.org/2001/04/xmlenc#sha512"/>
        <DigestValue>se+SAAulBzJgV/DHUblNC1KbKiXI9V9q6TRfLrzuqBvkNn1upOrmcV92P1CMSL02uHmqbiu92IJvIZ5tVCjWmw==</DigestValue>
      </Reference>
      <Reference URI="/xl/worksheets/sheet4.xml?ContentType=application/vnd.openxmlformats-officedocument.spreadsheetml.worksheet+xml">
        <DigestMethod Algorithm="http://www.w3.org/2001/04/xmlenc#sha512"/>
        <DigestValue>6qDTknQguXa7bn2t9QnKfPVsYImU1t+Bl7hjRZJDxiONOUUWFmZRfFGs56k7mRyNJZe4ewo8lorfOH26V99RpA==</DigestValue>
      </Reference>
      <Reference URI="/xl/worksheets/sheet5.xml?ContentType=application/vnd.openxmlformats-officedocument.spreadsheetml.worksheet+xml">
        <DigestMethod Algorithm="http://www.w3.org/2001/04/xmlenc#sha512"/>
        <DigestValue>iwilMExKbrrsxKR8NUd6frgStaBC7PtkXYxNSCWJougwN5KM6rQN53uEV0uS3zEoHwGeUA//27AGvtbRnnSuQQ==</DigestValue>
      </Reference>
      <Reference URI="/xl/worksheets/sheet6.xml?ContentType=application/vnd.openxmlformats-officedocument.spreadsheetml.worksheet+xml">
        <DigestMethod Algorithm="http://www.w3.org/2001/04/xmlenc#sha512"/>
        <DigestValue>4ADxUmpn/H46MDAIULCitzOhoC9FRMJ/708VIMSnCkSrUfhcCgX3N6q7gp4a5z8qPDCR2O7AXZsCpQ2HE19JmA==</DigestValue>
      </Reference>
      <Reference URI="/xl/worksheets/sheet7.xml?ContentType=application/vnd.openxmlformats-officedocument.spreadsheetml.worksheet+xml">
        <DigestMethod Algorithm="http://www.w3.org/2001/04/xmlenc#sha512"/>
        <DigestValue>cX3A19PUSvzKZiuoEp6Gbs/s7rAPCQ8OOVbhWqiyXZ3bAp6ZOL90alpXGXR4aywHTZuFQbluY4ogsSzHB7KJDQ==</DigestValue>
      </Reference>
      <Reference URI="/xl/worksheets/sheet8.xml?ContentType=application/vnd.openxmlformats-officedocument.spreadsheetml.worksheet+xml">
        <DigestMethod Algorithm="http://www.w3.org/2001/04/xmlenc#sha512"/>
        <DigestValue>DiSZkdYK1hPh54kOmr0kWhM4U45I2HDjngsmBemfaRu6GRNfbHkWjloQJnzldXUfLZ5MuaaRwnlV0aFGdBR1dw==</DigestValue>
      </Reference>
      <Reference URI="/xl/worksheets/sheet9.xml?ContentType=application/vnd.openxmlformats-officedocument.spreadsheetml.worksheet+xml">
        <DigestMethod Algorithm="http://www.w3.org/2001/04/xmlenc#sha512"/>
        <DigestValue>4ZKQ/6qfhL4TmAKszpKAHYr1aTd4Gmuooehv2K95xNcI5gxP3E0gQw7D6hv8e398fxpiipQGWgtMkihxxZFUug==</DigestValue>
      </Reference>
    </Manifest>
    <SignatureProperties>
      <SignatureProperty Id="idSignatureTime" Target="#idPackageSignature">
        <mdssi:SignatureTime xmlns:mdssi="http://schemas.openxmlformats.org/package/2006/digital-signature">
          <mdssi:Format>YYYY-MM-DDThh:mm:ssTZD</mdssi:Format>
          <mdssi:Value>2024-03-21T20:37:04Z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2024-03-21T20:37:04Z</xd:SigningTime>
          <xd:SigningCertificate>
            <xd:Cert>
              <xd:CertDigest>
                <DigestMethod Algorithm="http://www.w3.org/2001/04/xmlenc#sha512"/>
                <DigestValue>jYMbf7K8OpJp/ySEUH+A/jYFcn2qVj8v1Y886cmKocZ3Tzrp4V6qy5O8ZUn9Ejw0nYMMZxinTQT51pA5yefxeg==</DigestValue>
              </xd:CertDigest>
              <xd:IssuerSerial>
                <X509IssuerName>SERIALNUMBER=RUC80080610-7, CN=CODE100 S.A., OU=Prestador Cualificado de Servicios de Confianza, O=ICPP, C=PY</X509IssuerName>
                <X509SerialNumber>286658118605420949865941807018869088909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flu/RQl1b0uxD7Fm/PU9px7nERKj3g0uchQymEdb+qQ=</DigestValue>
    </Reference>
    <Reference Type="http://www.w3.org/2000/09/xmldsig#Object" URI="#idOfficeObject">
      <DigestMethod Algorithm="http://www.w3.org/2001/04/xmlenc#sha256"/>
      <DigestValue>4nsKvyUfwbtX+DQzn1rdADTA+5IQnS+VBdH7AciHxjA=</DigestValue>
    </Reference>
    <Reference Type="http://uri.etsi.org/01903#SignedProperties" URI="#idSignedProperties">
      <Transforms>
        <Transform Algorithm="http://www.w3.org/TR/2001/REC-xml-c14n-20010315"/>
      </Transforms>
      <DigestMethod Algorithm="http://www.w3.org/2001/04/xmlenc#sha256"/>
      <DigestValue>V9n3d3yI2fzwCXu5a3MHa2+nbTessGwQFCC/93iHIa0=</DigestValue>
    </Reference>
  </SignedInfo>
  <SignatureValue>JQo+SuHILwjlyvn4NzuL97M7Em3kBEQ1B6YOrLen/vgOa5HKW4ooSoqmipX+0D+c1xGrWScpYvnh
BGNqQOFHIcmuvEvtmuTIJw6WvzwKuTXF+JUQFpAofusH2iv5a9iDwTb3Ua1AVawbp1GEJ20FNJhH
/UGRUrFfvZBOA6PdQ1w5d5rwpj8qVv4nbId4yiN5pIP5Hf9yGk+x+up4kkXApuRCAduiVpfC8vtn
YeplngCDrUNBfHqaMPgEZ/mYNY3qnTcSQGn66qTaBd9LnejoznNXhxf9F54U4+9KCSpb54g55yNO
+6EONziF5iZzxy92LfzjC4lGj7VhZV7b9rNpbg==</SignatureValue>
  <KeyInfo>
    <X509Data>
      <X509Certificate>MIIHxjCCBa6gAwIBAgIQcLqInDXyJKZieVVGrfn8nDANBgkqhkiG9w0BAQsFADBPMRcwFQYDVQQFEw5SVUMgODAwODAwOTktMDELMAkGA1UEBhMCUFkxETAPBgNVBAoMCFZJVCBTLkEuMRQwEgYDVQQDEwtDQS1WSVQgUy5BLjAeFw0yMjA1MDkxNzU0MTRaFw0yNDA1MDkxNzU0MTRaMIGfMRQwEgYDVQQqDAtKVUFOIE1BTlVFTDEWMBQGA1UEBAwNUk9NRVJPIEJFUk5BTDESMBAGA1UEBRMJQ0kzNzc2MzUyMSIwIAYDVQQDDBlKVUFOIE1BTlVFTCBST01FUk8gQkVSTkFMMREwDwYDVQQLDAhGSVJNQSBGMjEXMBUGA1UECgwOUEVSU09OQSBGSVNJQ0ExCzAJBgNVBAYTAlBZMIIBIjANBgkqhkiG9w0BAQEFAAOCAQ8AMIIBCgKCAQEArW2DXRZI0OzM+zZpux+Scm/+xNeFDvwxI1quRXxbhOoNtbOMmFuPrBYh9J2BVE1pv2OUEUFH6g/HwrCzI0yHEhBBP4UuSKT8UM1pBkDO8b2KUVbw/0gXTqcNYpNk5Kn/HrUTBSke69pU61thVMizPblB/ka3wWsr01P0u2Nt5zFAIyUzQbXh7Kqhctr+hsU1zEvEL8Dpyj26wJYDAgjXQFtZRBC0ouo+NTFKHYb70J3rX6mCV1TW1G42eaQurWBRqg9y109YxAOwDTKlTRWRrDvfpb3dNPPeS9hpMLbBqNeUIvNPgwiUGBUV9k65aBL3FE9PKccvmvinbP2wtHBySQIDAQABo4IDSzCCA0cwDAYDVR0TAQH/BAIwADAOBgNVHQ8BAf8EBAMCBeAwLAYDVR0lAQH/BCIwIAYIKwYBBQUHAwQGCCsGAQUFBwMCBgorBgEEAYI3FAICMB0GA1UdDgQWBBQ1kK80QKN2qz2rEs9R3CCQsdI9tj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EGA1UdEQQaMBiBFkpNUkJFUk5BTDE3MUBHTUFJTC5DT00wdgYIKwYBBQUHAQEEajBoMCgGCCsGAQUFBzABhhxodHRwczovL3d3dy5lZmlybWEuY29tLnB5L3ZhMDwGCCsGAQUFBzAChjBodHRwczovL3d3dy5lZmlybWEuY29tLnB5L3JlcG9zaXRvcmlvL2VmaXJtYS5jcnQwQgYDVR0fBDswOTA3oDWgM4YxaHR0cHM6Ly93d3cuZWZpcm1hLmNvbS5weS9yZXBvc2l0b3Jpby9lZmlybWExLmNybDANBgkqhkiG9w0BAQsFAAOCAgEADwhsBTpmuqsn+g3DwODRrc4efhhbrvqG/lk731lntZfjqDdoYZ/8Ss2VdiLFNvapgaxF7KxrEI/6SaZkn9LvtLvfJ2q7GeCc1aLvxcG9C9KoiBnB8YUv6WyolyNzbRUUaDpWddIBlw/ByC9OXF+nxn9/XLT4VxmWKI9rk5m/beyfOd+Rcisl2KunIwR+IzqT+syKiW424Dv+QnIBbG1T2NFS6JAS9tLt6FzFeFTCPY7pM+2W96gUoM6GPHH/nhirsuF/OJDJ5krZllFBxiYgQ6Qi7t256YNawJFVsGZeVShJCugjO2zKAkIsNfrzn/CoYtQ9TfJXSGr4ua3jxO2/E/sLF48+XZ+LjHf/rqGliA6XPvayNXNDruV5Oectti7tJuUypXFta81L9g+EJZSmxdj6Kp1DuP5NwkHoDmpA/YvXec7Mvx/7CGKBy8iuqlAz2rZN0Y3yLMfM+YNc/+2HRroQJjHxXF6ggZa3uxdLH+9IY/wq+V+dNNbW7eCDtIEhK5/37iuvYdTBu3nw688C7pyqlM1D9TAUsngf/Fk0KxaGEL5UX9Fpff8z/wD/37AqtPCjobl9+hrMGUmL7SJpuobl9Dzv/a3ED09NflFo5Wtv23H+OxcuoWv09qG8ievBNcqx806JtPB5bf85IoIIMHVlHKXu9EDhOpDDRMg+9v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nJeny9oqO7SwbrhMoB3H9j1pYXAV9B/FOVB/u7iG9Rg=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KJ02wrSrc6OIeOdZuxCsqoH9KBs34GYOi+Hyiesz2I4=</DigestValue>
      </Reference>
      <Reference URI="/xl/styles.xml?ContentType=application/vnd.openxmlformats-officedocument.spreadsheetml.styles+xml">
        <DigestMethod Algorithm="http://www.w3.org/2001/04/xmlenc#sha256"/>
        <DigestValue>2ZmdqNAHj2r+weeB/v5wXg8FrIF/Xov0ngsYC0E7thE=</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g5chTPnrG1wRMYYkJ1uTHzuswOHS2WDxd2I5h7VTBO4=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fuYj2c8W1r9IStT7l9VTAsu5Gabmo2XTVYkJxHaKnk4=</DigestValue>
      </Reference>
      <Reference URI="/xl/worksheets/sheet10.xml?ContentType=application/vnd.openxmlformats-officedocument.spreadsheetml.worksheet+xml">
        <DigestMethod Algorithm="http://www.w3.org/2001/04/xmlenc#sha256"/>
        <DigestValue>cIYOf0GOHWpTuiWKBEkkCLXr9DnoTZsKJLzNBdZIIYI=</DigestValue>
      </Reference>
      <Reference URI="/xl/worksheets/sheet11.xml?ContentType=application/vnd.openxmlformats-officedocument.spreadsheetml.worksheet+xml">
        <DigestMethod Algorithm="http://www.w3.org/2001/04/xmlenc#sha256"/>
        <DigestValue>cIBvSS0x8AjPc2FQ5qYaR6HIBl+PzqoxzwMaxVbD1jE=</DigestValue>
      </Reference>
      <Reference URI="/xl/worksheets/sheet12.xml?ContentType=application/vnd.openxmlformats-officedocument.spreadsheetml.worksheet+xml">
        <DigestMethod Algorithm="http://www.w3.org/2001/04/xmlenc#sha256"/>
        <DigestValue>1W1bmSLmIrutnhiTQviU47PoRQjzUJYrPbeafSEnVtU=</DigestValue>
      </Reference>
      <Reference URI="/xl/worksheets/sheet13.xml?ContentType=application/vnd.openxmlformats-officedocument.spreadsheetml.worksheet+xml">
        <DigestMethod Algorithm="http://www.w3.org/2001/04/xmlenc#sha256"/>
        <DigestValue>oERJn2vr6e7Nc9eQYxISGsu/yr/jIbsJpboWp5pHMcY=</DigestValue>
      </Reference>
      <Reference URI="/xl/worksheets/sheet14.xml?ContentType=application/vnd.openxmlformats-officedocument.spreadsheetml.worksheet+xml">
        <DigestMethod Algorithm="http://www.w3.org/2001/04/xmlenc#sha256"/>
        <DigestValue>ZBDdSZX0mNsauXYuVhzNcDo9Il2E1bywEGCtO8LlO3I=</DigestValue>
      </Reference>
      <Reference URI="/xl/worksheets/sheet2.xml?ContentType=application/vnd.openxmlformats-officedocument.spreadsheetml.worksheet+xml">
        <DigestMethod Algorithm="http://www.w3.org/2001/04/xmlenc#sha256"/>
        <DigestValue>osyYH7D0y+vFIEDJRxav//S4e6k4WZhMV1CFb1nEb10=</DigestValue>
      </Reference>
      <Reference URI="/xl/worksheets/sheet3.xml?ContentType=application/vnd.openxmlformats-officedocument.spreadsheetml.worksheet+xml">
        <DigestMethod Algorithm="http://www.w3.org/2001/04/xmlenc#sha256"/>
        <DigestValue>sTrmdR4zwGhwCX287pkG+uKW7Kne8Rvks4vMwK01o4Q=</DigestValue>
      </Reference>
      <Reference URI="/xl/worksheets/sheet4.xml?ContentType=application/vnd.openxmlformats-officedocument.spreadsheetml.worksheet+xml">
        <DigestMethod Algorithm="http://www.w3.org/2001/04/xmlenc#sha256"/>
        <DigestValue>jHco1qHy4QlrM9AJW4BsduNgRG2JRu2oFe/Id7QeVhA=</DigestValue>
      </Reference>
      <Reference URI="/xl/worksheets/sheet5.xml?ContentType=application/vnd.openxmlformats-officedocument.spreadsheetml.worksheet+xml">
        <DigestMethod Algorithm="http://www.w3.org/2001/04/xmlenc#sha256"/>
        <DigestValue>r8NZImh/so10zjobyeZzMLQFu1G0DVn/A5NfvGr55gs=</DigestValue>
      </Reference>
      <Reference URI="/xl/worksheets/sheet6.xml?ContentType=application/vnd.openxmlformats-officedocument.spreadsheetml.worksheet+xml">
        <DigestMethod Algorithm="http://www.w3.org/2001/04/xmlenc#sha256"/>
        <DigestValue>YXYMM45SINRC0NxMAlBcXyRRfyFEK4xgZkfCra221HY=</DigestValue>
      </Reference>
      <Reference URI="/xl/worksheets/sheet7.xml?ContentType=application/vnd.openxmlformats-officedocument.spreadsheetml.worksheet+xml">
        <DigestMethod Algorithm="http://www.w3.org/2001/04/xmlenc#sha256"/>
        <DigestValue>6cMgW14nswTcJTb5OzVnGVfzJXPTonrr9MBWZzdsMqY=</DigestValue>
      </Reference>
      <Reference URI="/xl/worksheets/sheet8.xml?ContentType=application/vnd.openxmlformats-officedocument.spreadsheetml.worksheet+xml">
        <DigestMethod Algorithm="http://www.w3.org/2001/04/xmlenc#sha256"/>
        <DigestValue>jG+W4V6lcdwEoiRG15vYSFWP/iZvq07lPU38pYB4ue0=</DigestValue>
      </Reference>
      <Reference URI="/xl/worksheets/sheet9.xml?ContentType=application/vnd.openxmlformats-officedocument.spreadsheetml.worksheet+xml">
        <DigestMethod Algorithm="http://www.w3.org/2001/04/xmlenc#sha256"/>
        <DigestValue>K3300HIB+iKDuHVJokFDrQdoHo+qHhbnG3Tgq9B7SvE=</DigestValue>
      </Reference>
    </Manifest>
    <SignatureProperties>
      <SignatureProperty Id="idSignatureTime" Target="#idPackageSignature">
        <mdssi:SignatureTime xmlns:mdssi="http://schemas.openxmlformats.org/package/2006/digital-signature">
          <mdssi:Format>YYYY-MM-DDThh:mm:ssTZD</mdssi:Format>
          <mdssi:Value>2024-03-22T14:57:05Z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Sindico Suplente</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2024-03-22T14:57:05Z</xd:SigningTime>
          <xd:SigningCertificate>
            <xd:Cert>
              <xd:CertDigest>
                <DigestMethod Algorithm="http://www.w3.org/2001/04/xmlenc#sha256"/>
                <DigestValue>vrrN2dS4ynor2K9Xz6n3GqnZkkQg2o1yiSkZfsX3HRk=</DigestValue>
              </xd:CertDigest>
              <xd:IssuerSerial>
                <X509IssuerName>CN=CA-VIT S.A., O=VIT S.A., C=PY, SERIALNUMBER=RUC 80080099-0</X509IssuerName>
                <X509SerialNumber>149842073527592943199874109383324073116</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Sindico Suplente</xd:ClaimedRole>
            </xd:ClaimedRoles>
          </xd:SignerRole>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Sindico Suplente</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/vm+je7Tsl2rdxemOiRUCpfnAKFEZ/EKNCsx0bmj9QM=</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lAGKbDZQRpk8es79i3dlA2fAx1ULU8JCP9qIldugxgo=</DigestValue>
    </Reference>
  </SignedInfo>
  <SignatureValue>RxJO5ZqLDK6Gk49kXFPm+1kTPjzstOdpw3JvzkdLun9IY07/x9hJ0T+ynatQ5YLVAUthLNhu9u8R
50F7VHTKPkAct2S0VapoYagK1r3oV0mL0CHSej9FCfXdYnJecIVH/ovKMx3R820/NP0R0780+t7g
XkI+vpYPJAj2Bk0LIg6ExiCKr51gDOxd9sM5PvfrN/k9qOAfWrofuUAskZ0iZXPznuBrjKNpvRbm
ASxvbY+6bpg7/ugvphzIl2k8ADLxUiRflTe8rWO+ZdIwXeTQr0QTHhYVYhclekuQVSVgyw4n8E4E
5KDFCigbWXE9UHEhzMf0vqstp4L+1zavoawpaA==</SignatureValue>
  <KeyInfo>
    <X509Data>
      <X509Certificate>MIIHzjCCBbagAwIBAgIQL7XpHmPRuchin226JlbAVzANBgkqhkiG9w0BAQsFADBPMRcwFQYDVQQFEw5SVUMgODAwODAwOTktMDELMAkGA1UEBhMCUFkxETAPBgNVBAoMCFZJVCBTLkEuMRQwEgYDVQQDEwtDQS1WSVQgUy5BLjAeFw0yMjA2MDcxNTI0NDJaFw0yNDA2MDcxNTI0NDJaMIGlMRYwFAYDVQQqDA1EQU5JRUwgQU5EUkVTMRcwFQYDVQQEDA5NT1JFTk8gQk9HQVJJTjESMBAGA1UEBRMJQ0kxMDEyODI1MSUwIwYDVQQDDBxEQU5JRUwgQU5EUkVTIE1PUkVOTyBCT0dBUklOMREwDwYDVQQLDAhGSVJNQSBGMjEXMBUGA1UECgwOUEVSU09OQSBGSVNJQ0ExCzAJBgNVBAYTAlBZMIIBIjANBgkqhkiG9w0BAQEFAAOCAQ8AMIIBCgKCAQEAuRNzv8CdocoOQsAA26dRPkZNawmuV0R95x/Q6aKtzipJodEiww+U7wir+hKSfLrpYFmt1RjKpFpUpQtr/kZPejR4olEsFn3cHqnMa7pivFLG0/qQlOWTN3Lhu2YQUyI0MPwXk3QxVc2OKZxw1DFdS11Z0Vue9YGsHnrUUbDE5jZgIlkN/E1P+PzSMuFYQxlXIbuadtlUh/e+G9UqqU+gYoODyWMpLJSitCsn5dfOAZgxoDxMXlDNTadrCvBhiWTEFx0EP6B3iJZn4WsuB+yaZTc1G2vXWdpwtXcVU9eIqzNG72OfXX3G9tP62TVDDWwwTO0jCpPLv+/YihPBwvngawIDAQABo4IDTTCCA0kwDAYDVR0TAQH/BAIwADAOBgNVHQ8BAf8EBAMCBeAwLAYDVR0lAQH/BCIwIAYIKwYBBQUHAwQGCCsGAQUFBwMCBgorBgEEAYI3FAICMB0GA1UdDgQWBBRdOFaaIbDK/Fqdy8VH8JYmtnKkKT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MGA1UdEQQcMBqBGERBTklFTE1PUkVOTzc2QEdNQUlMLkNPTTB2BggrBgEFBQcBAQRqMGgwKAYIKwYBBQUHMAGGHGh0dHBzOi8vd3d3LmVmaXJtYS5jb20ucHkvdmEwPAYIKwYBBQUHMAKGMGh0dHBzOi8vd3d3LmVmaXJtYS5jb20ucHkvcmVwb3NpdG9yaW8vZWZpcm1hLmNydDBCBgNVHR8EOzA5MDegNaAzhjFodHRwczovL3d3dy5lZmlybWEuY29tLnB5L3JlcG9zaXRvcmlvL2VmaXJtYTEuY3JsMA0GCSqGSIb3DQEBCwUAA4ICAQARmhN8V4KxD0p7Zkr78CLtgXL3zW1oCuIgRWVNfgNOmiQ1bBF9EbtGHLQuH24wshZMBUXgHrGDxTiCqIgGg5zGsB0mmw5FbK7MaZ+hs3abdZZyriDBOkQDyGCBI/CdwYcNSOwolACXY1owmCz/XACWerMInMt5SXtTymyElxEjMK//fIBws3UNKEBj/i5MGndZtXRSz++nxv3HjvC5FpRHEDz8lYb/7x6k3XfSQNDdWgnn9Z5VPQjTqrN3SmyKbTNjwgL9gkKcp9YG5zE5gePNuRNbI5mgQ1AxyHT3fq4dhZtMz2VnOhF0/xqVM03OdUzdxUmrcDO7gknYYiUjCdHtHkqbC6BGzkI0MMDDAhg/HJpmQ52Q5vaqm/D2cYsWRIM3r6esppgLMWuxtMOs2g0S3oAzC3NhHB0iI2+Ud4sx2E9XlP9HJyPjZwP86KubviPgtE0a+9X3DgNY2LOoI2F0BcUkasCm3xDCevKSyn0B3e2jCl7gOLJApBPydBliNBsNYmE7v33f/A+DN9CoZ4pUlIV8jsPRLUsOoAsZH3Ut6yd7NrIAl/uy1Z9nFGNW/2dFCAap3MIAAHase0I/OaSfSOLKc8GuGLCUS+xZu64m+qtw7Evlef4KS7oajLAcWLGBD+1brwdrSPHbTbE9N2MQRNZYKAX+ZGjZzOdthQVhr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nJeny9oqO7SwbrhMoB3H9j1pYXAV9B/FOVB/u7iG9Rg=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KJ02wrSrc6OIeOdZuxCsqoH9KBs34GYOi+Hyiesz2I4=</DigestValue>
      </Reference>
      <Reference URI="/xl/styles.xml?ContentType=application/vnd.openxmlformats-officedocument.spreadsheetml.styles+xml">
        <DigestMethod Algorithm="http://www.w3.org/2001/04/xmlenc#sha256"/>
        <DigestValue>2ZmdqNAHj2r+weeB/v5wXg8FrIF/Xov0ngsYC0E7thE=</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g5chTPnrG1wRMYYkJ1uTHzuswOHS2WDxd2I5h7VTBO4=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fuYj2c8W1r9IStT7l9VTAsu5Gabmo2XTVYkJxHaKnk4=</DigestValue>
      </Reference>
      <Reference URI="/xl/worksheets/sheet10.xml?ContentType=application/vnd.openxmlformats-officedocument.spreadsheetml.worksheet+xml">
        <DigestMethod Algorithm="http://www.w3.org/2001/04/xmlenc#sha256"/>
        <DigestValue>cIYOf0GOHWpTuiWKBEkkCLXr9DnoTZsKJLzNBdZIIYI=</DigestValue>
      </Reference>
      <Reference URI="/xl/worksheets/sheet11.xml?ContentType=application/vnd.openxmlformats-officedocument.spreadsheetml.worksheet+xml">
        <DigestMethod Algorithm="http://www.w3.org/2001/04/xmlenc#sha256"/>
        <DigestValue>cIBvSS0x8AjPc2FQ5qYaR6HIBl+PzqoxzwMaxVbD1jE=</DigestValue>
      </Reference>
      <Reference URI="/xl/worksheets/sheet12.xml?ContentType=application/vnd.openxmlformats-officedocument.spreadsheetml.worksheet+xml">
        <DigestMethod Algorithm="http://www.w3.org/2001/04/xmlenc#sha256"/>
        <DigestValue>1W1bmSLmIrutnhiTQviU47PoRQjzUJYrPbeafSEnVtU=</DigestValue>
      </Reference>
      <Reference URI="/xl/worksheets/sheet13.xml?ContentType=application/vnd.openxmlformats-officedocument.spreadsheetml.worksheet+xml">
        <DigestMethod Algorithm="http://www.w3.org/2001/04/xmlenc#sha256"/>
        <DigestValue>oERJn2vr6e7Nc9eQYxISGsu/yr/jIbsJpboWp5pHMcY=</DigestValue>
      </Reference>
      <Reference URI="/xl/worksheets/sheet14.xml?ContentType=application/vnd.openxmlformats-officedocument.spreadsheetml.worksheet+xml">
        <DigestMethod Algorithm="http://www.w3.org/2001/04/xmlenc#sha256"/>
        <DigestValue>ZBDdSZX0mNsauXYuVhzNcDo9Il2E1bywEGCtO8LlO3I=</DigestValue>
      </Reference>
      <Reference URI="/xl/worksheets/sheet2.xml?ContentType=application/vnd.openxmlformats-officedocument.spreadsheetml.worksheet+xml">
        <DigestMethod Algorithm="http://www.w3.org/2001/04/xmlenc#sha256"/>
        <DigestValue>osyYH7D0y+vFIEDJRxav//S4e6k4WZhMV1CFb1nEb10=</DigestValue>
      </Reference>
      <Reference URI="/xl/worksheets/sheet3.xml?ContentType=application/vnd.openxmlformats-officedocument.spreadsheetml.worksheet+xml">
        <DigestMethod Algorithm="http://www.w3.org/2001/04/xmlenc#sha256"/>
        <DigestValue>sTrmdR4zwGhwCX287pkG+uKW7Kne8Rvks4vMwK01o4Q=</DigestValue>
      </Reference>
      <Reference URI="/xl/worksheets/sheet4.xml?ContentType=application/vnd.openxmlformats-officedocument.spreadsheetml.worksheet+xml">
        <DigestMethod Algorithm="http://www.w3.org/2001/04/xmlenc#sha256"/>
        <DigestValue>jHco1qHy4QlrM9AJW4BsduNgRG2JRu2oFe/Id7QeVhA=</DigestValue>
      </Reference>
      <Reference URI="/xl/worksheets/sheet5.xml?ContentType=application/vnd.openxmlformats-officedocument.spreadsheetml.worksheet+xml">
        <DigestMethod Algorithm="http://www.w3.org/2001/04/xmlenc#sha256"/>
        <DigestValue>r8NZImh/so10zjobyeZzMLQFu1G0DVn/A5NfvGr55gs=</DigestValue>
      </Reference>
      <Reference URI="/xl/worksheets/sheet6.xml?ContentType=application/vnd.openxmlformats-officedocument.spreadsheetml.worksheet+xml">
        <DigestMethod Algorithm="http://www.w3.org/2001/04/xmlenc#sha256"/>
        <DigestValue>YXYMM45SINRC0NxMAlBcXyRRfyFEK4xgZkfCra221HY=</DigestValue>
      </Reference>
      <Reference URI="/xl/worksheets/sheet7.xml?ContentType=application/vnd.openxmlformats-officedocument.spreadsheetml.worksheet+xml">
        <DigestMethod Algorithm="http://www.w3.org/2001/04/xmlenc#sha256"/>
        <DigestValue>6cMgW14nswTcJTb5OzVnGVfzJXPTonrr9MBWZzdsMqY=</DigestValue>
      </Reference>
      <Reference URI="/xl/worksheets/sheet8.xml?ContentType=application/vnd.openxmlformats-officedocument.spreadsheetml.worksheet+xml">
        <DigestMethod Algorithm="http://www.w3.org/2001/04/xmlenc#sha256"/>
        <DigestValue>jG+W4V6lcdwEoiRG15vYSFWP/iZvq07lPU38pYB4ue0=</DigestValue>
      </Reference>
      <Reference URI="/xl/worksheets/sheet9.xml?ContentType=application/vnd.openxmlformats-officedocument.spreadsheetml.worksheet+xml">
        <DigestMethod Algorithm="http://www.w3.org/2001/04/xmlenc#sha256"/>
        <DigestValue>K3300HIB+iKDuHVJokFDrQdoHo+qHhbnG3Tgq9B7SvE=</DigestValue>
      </Reference>
    </Manifest>
    <SignatureProperties>
      <SignatureProperty Id="idSignatureTime" Target="#idPackageSignature">
        <mdssi:SignatureTime xmlns:mdssi="http://schemas.openxmlformats.org/package/2006/digital-signature">
          <mdssi:Format>YYYY-MM-DDThh:mm:ssTZD</mdssi:Format>
          <mdssi:Value>2024-03-22T12:29:26Z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2024-03-22T12:29:26Z</xd:SigningTime>
          <xd:SigningCertificate>
            <xd:Cert>
              <xd:CertDigest>
                <DigestMethod Algorithm="http://www.w3.org/2001/04/xmlenc#sha256"/>
                <DigestValue>8uHdl/n7i8782z2nH7JLdbT94ygLsx4FAHi12soOtsg=</DigestValue>
              </xd:CertDigest>
              <xd:IssuerSerial>
                <X509IssuerName>CN=CA-VIT S.A., O=VIT S.A., C=PY, SERIALNUMBER=RUC 80080099-0</X509IssuerName>
                <X509SerialNumber>63418249742460934897249143495463452759</X509SerialNumber>
              </xd:IssuerSerial>
            </xd:Cert>
          </xd:SigningCertificate>
          <xd:SignaturePolicyIdentifier>
            <xd:SignaturePolicyImplied/>
          </xd:SignaturePolicyIdentifier>
        </xd:SignedSignature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xiUK50Wfm4PZ8/rcNLyTt7TqNE78DF6Hr+tKiN6OENA=</DigestValue>
    </Reference>
    <Reference Type="http://www.w3.org/2000/09/xmldsig#Object" URI="#idOfficeObject">
      <DigestMethod Algorithm="http://www.w3.org/2001/04/xmlenc#sha256"/>
      <DigestValue>vyr051GRo6fcM+EczBnHs+TXqwtZlhDNIuJhfKE2leA=</DigestValue>
    </Reference>
    <Reference Type="http://uri.etsi.org/01903#SignedProperties" URI="#idSignedProperties">
      <Transforms>
        <Transform Algorithm="http://www.w3.org/TR/2001/REC-xml-c14n-20010315"/>
      </Transforms>
      <DigestMethod Algorithm="http://www.w3.org/2001/04/xmlenc#sha256"/>
      <DigestValue>+bOEkyg6lv51Ps4Kiy3vTFU5GQMf385hntGTiowS69g=</DigestValue>
    </Reference>
  </SignedInfo>
  <SignatureValue>DdkjjSFHt0Baa1cOoiecztjJMu9Ukm8mYBenoM5h9W+Q6kBLnw+6w118rkwf9V5Zu5d8bSW0vO0X
0bPDQfskKRroDR60V7Pl44ijwBLs/GkrcvZ12Zcjpg63WmtddZkQiH/N9d6e4yUlPeZhRflKgYeT
wYgNeQWFFcwdlbe3sVTSUKxVA82zXD6jRc65/Reb+KQELjtxJUJrggRls954bwbfPJG2ldf1Hqm+
nAYuS+mNfnkWDdCQwwT/aZgRm7PA9xPFRnRfkjZoht3ANwOYOVQNpoIgII6LQ9/aT4zdfcb9ELjm
WHB+MoGF4+OKx3FFDcGG7ecx+D74nWXXBsdz3A==</SignatureValue>
  <KeyInfo>
    <X509Data>
      <X509Certificate>MIIInTCCBoWgAwIBAgIITWf6UcsYwjcwDQYJKoZIhvcNAQELBQAwWjEaMBgGA1UEAwwRQ0EtRE9DVU1FTlRBIFMuQS4xFjAUBgNVBAUTDVJVQzgwMDUwMTcyLTExFzAVBgNVBAoMDkRPQ1VNRU5UQSBTLkEuMQswCQYDVQQGEwJQWTAeFw0yMzEwMjYxODM3MDBaFw0yNTEwMjUxODM3MDBaMIHXMTIwMAYDVQQDDClBUlNFTklPIE1JR1VFTCBBTkdFTCBSRUNBTERFIEVTVElHQVJSSUJJQTESMBAGA1UEBRMJQ0k0Mjc5NjUwMR0wGwYDVQQqDBRBUlNFTklPIE1JR1VFTCBBTkdFTDEdMBsGA1UEBAwUUkVDQUxERSBFU1RJR0FSUklCSUExCzAJBgNVBAsMAkYyMTUwMwYDVQQKDCxDRVJUSUZJQ0FETyBDVUFMSUZJQ0FETyBERSBGSVJNQSBFTEVDVFJPTklDQTELMAkGA1UEBhMCUFkwggEiMA0GCSqGSIb3DQEBAQUAA4IBDwAwggEKAoIBAQCZIOupPNL81x9kDvImp6buVPYtwG1+Tf/y4dS5cSapxadWR8AqbmN/sEePQlGnku7Y3irF7xWOQabWBcBjOyjHShmeHnqJtNCC9nalUix7IYOdgH8YZPn305mYg/4zwPOrxf3C4rELR1ZCk5AR3mrl/KIXRGEZobpqypYVguL1lXFp9q96potA5oeZn/+hcGd8nPCAVqd8Bn1Cnxkjx6kcxN6ZRh4V3CfFFkTGYFc8oAnmFRzh7csTvMwgGsilh5iXDjKZtXtkn5JlM/fdvyZdG2k40mHkawf5cdB8Pa9MUr/xVEXDrh0ZNyRt66T/tkRU1qlmXysUTyQFYEnOfA2nAgMBAAGjggPnMIID4zAMBgNVHRMBAf8EAjAAMB8GA1UdIwQYMBaAFKE9hSvN2CyWHzkCDJ9TO1jYlQt7MIGUBggrBgEFBQcBAQSBhzCBhDBVBggrBgEFBQcwAoZJaHR0cHM6Ly93d3cuZGlnaXRvLmNvbS5weS91cGxvYWRzL2NlcnRpZmljYWRvLWRvY3VtZW50YS1zYS0xNTM1MTE3NzcxLmNydDArBggrBgEFBQcwAYYfaHR0cHM6Ly93d3cuZGlnaXRvLmNvbS5weS9vY3NwLzBKBgNVHREEQzBBgRNhcmVjYWxkZUBwY2cuY29tLnB5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Cx2eT7vx+djqtv86aX9naIp2DvcwDgYDVR0PAQH/BAQDAgXgMA0GCSqGSIb3DQEBCwUAA4ICAQCfnPQ1jugWkYpQdqLjWGU1PIoq9NOTh/x3d9+QJ0PZp7RWSGic4X1UlIULh7gCXZ0xuBYKw0toyuRE5e34Dxq+v0mw/HLWtKpoki62tR1ZWPYpFSz1nsKnJnU05C/EsjWjArmtLcXGnOC7IBxp+/3KFKQ6cYN/DipQuZN/lWp9wTTOowlydQN7HaYUSnp0WLG4G64/0c5yPZTVYsxoc6A9ZXnICh1rwsbD04+NWnfHqkEq10tInHG/4jmvLDKIJd7fuwi6o7kBbRcOo+wFaA25wqsq7RKXYR1RVJdFjV7QYoCVxm4SgOy/HCeyBal0TOc9RwE5mSIu77YdDJsDANTP1+Av9Bc2Gx++M8b7ZJcoLQbJSLY7QVTFH09u2Z75B/WMJIuO4YQY4+9dErAYbUykLIKzRtHvODpmm0Dej6p33RRxWuVlv8SqWSPe4K9g+jhP66P5uxMzbBqum/Q5cHOErdRuK0YLtByb5HZihm4/E10ZVpjUI2YzvNVTo3154E9KIA8BmssPR+4LFPzITg3Q3ExBJZKunmX/OECw58pJUgWtHuRmcVkLTv/8/MozxWwNqjAWloSNXAWwxP1rVquIIVhLHgdnW18iEYwLRLyRNuwEiYcCoq0W6IHOxiss+gCMuWgViQFiw4hjhtCQlnce14AyU9vNpTGcY79ogry/p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nJeny9oqO7SwbrhMoB3H9j1pYXAV9B/FOVB/u7iG9Rg=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KJ02wrSrc6OIeOdZuxCsqoH9KBs34GYOi+Hyiesz2I4=</DigestValue>
      </Reference>
      <Reference URI="/xl/styles.xml?ContentType=application/vnd.openxmlformats-officedocument.spreadsheetml.styles+xml">
        <DigestMethod Algorithm="http://www.w3.org/2001/04/xmlenc#sha256"/>
        <DigestValue>2ZmdqNAHj2r+weeB/v5wXg8FrIF/Xov0ngsYC0E7thE=</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g5chTPnrG1wRMYYkJ1uTHzuswOHS2WDxd2I5h7VTBO4=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fuYj2c8W1r9IStT7l9VTAsu5Gabmo2XTVYkJxHaKnk4=</DigestValue>
      </Reference>
      <Reference URI="/xl/worksheets/sheet10.xml?ContentType=application/vnd.openxmlformats-officedocument.spreadsheetml.worksheet+xml">
        <DigestMethod Algorithm="http://www.w3.org/2001/04/xmlenc#sha256"/>
        <DigestValue>cIYOf0GOHWpTuiWKBEkkCLXr9DnoTZsKJLzNBdZIIYI=</DigestValue>
      </Reference>
      <Reference URI="/xl/worksheets/sheet11.xml?ContentType=application/vnd.openxmlformats-officedocument.spreadsheetml.worksheet+xml">
        <DigestMethod Algorithm="http://www.w3.org/2001/04/xmlenc#sha256"/>
        <DigestValue>cIBvSS0x8AjPc2FQ5qYaR6HIBl+PzqoxzwMaxVbD1jE=</DigestValue>
      </Reference>
      <Reference URI="/xl/worksheets/sheet12.xml?ContentType=application/vnd.openxmlformats-officedocument.spreadsheetml.worksheet+xml">
        <DigestMethod Algorithm="http://www.w3.org/2001/04/xmlenc#sha256"/>
        <DigestValue>1W1bmSLmIrutnhiTQviU47PoRQjzUJYrPbeafSEnVtU=</DigestValue>
      </Reference>
      <Reference URI="/xl/worksheets/sheet13.xml?ContentType=application/vnd.openxmlformats-officedocument.spreadsheetml.worksheet+xml">
        <DigestMethod Algorithm="http://www.w3.org/2001/04/xmlenc#sha256"/>
        <DigestValue>oERJn2vr6e7Nc9eQYxISGsu/yr/jIbsJpboWp5pHMcY=</DigestValue>
      </Reference>
      <Reference URI="/xl/worksheets/sheet14.xml?ContentType=application/vnd.openxmlformats-officedocument.spreadsheetml.worksheet+xml">
        <DigestMethod Algorithm="http://www.w3.org/2001/04/xmlenc#sha256"/>
        <DigestValue>ZBDdSZX0mNsauXYuVhzNcDo9Il2E1bywEGCtO8LlO3I=</DigestValue>
      </Reference>
      <Reference URI="/xl/worksheets/sheet2.xml?ContentType=application/vnd.openxmlformats-officedocument.spreadsheetml.worksheet+xml">
        <DigestMethod Algorithm="http://www.w3.org/2001/04/xmlenc#sha256"/>
        <DigestValue>osyYH7D0y+vFIEDJRxav//S4e6k4WZhMV1CFb1nEb10=</DigestValue>
      </Reference>
      <Reference URI="/xl/worksheets/sheet3.xml?ContentType=application/vnd.openxmlformats-officedocument.spreadsheetml.worksheet+xml">
        <DigestMethod Algorithm="http://www.w3.org/2001/04/xmlenc#sha256"/>
        <DigestValue>sTrmdR4zwGhwCX287pkG+uKW7Kne8Rvks4vMwK01o4Q=</DigestValue>
      </Reference>
      <Reference URI="/xl/worksheets/sheet4.xml?ContentType=application/vnd.openxmlformats-officedocument.spreadsheetml.worksheet+xml">
        <DigestMethod Algorithm="http://www.w3.org/2001/04/xmlenc#sha256"/>
        <DigestValue>jHco1qHy4QlrM9AJW4BsduNgRG2JRu2oFe/Id7QeVhA=</DigestValue>
      </Reference>
      <Reference URI="/xl/worksheets/sheet5.xml?ContentType=application/vnd.openxmlformats-officedocument.spreadsheetml.worksheet+xml">
        <DigestMethod Algorithm="http://www.w3.org/2001/04/xmlenc#sha256"/>
        <DigestValue>r8NZImh/so10zjobyeZzMLQFu1G0DVn/A5NfvGr55gs=</DigestValue>
      </Reference>
      <Reference URI="/xl/worksheets/sheet6.xml?ContentType=application/vnd.openxmlformats-officedocument.spreadsheetml.worksheet+xml">
        <DigestMethod Algorithm="http://www.w3.org/2001/04/xmlenc#sha256"/>
        <DigestValue>YXYMM45SINRC0NxMAlBcXyRRfyFEK4xgZkfCra221HY=</DigestValue>
      </Reference>
      <Reference URI="/xl/worksheets/sheet7.xml?ContentType=application/vnd.openxmlformats-officedocument.spreadsheetml.worksheet+xml">
        <DigestMethod Algorithm="http://www.w3.org/2001/04/xmlenc#sha256"/>
        <DigestValue>6cMgW14nswTcJTb5OzVnGVfzJXPTonrr9MBWZzdsMqY=</DigestValue>
      </Reference>
      <Reference URI="/xl/worksheets/sheet8.xml?ContentType=application/vnd.openxmlformats-officedocument.spreadsheetml.worksheet+xml">
        <DigestMethod Algorithm="http://www.w3.org/2001/04/xmlenc#sha256"/>
        <DigestValue>jG+W4V6lcdwEoiRG15vYSFWP/iZvq07lPU38pYB4ue0=</DigestValue>
      </Reference>
      <Reference URI="/xl/worksheets/sheet9.xml?ContentType=application/vnd.openxmlformats-officedocument.spreadsheetml.worksheet+xml">
        <DigestMethod Algorithm="http://www.w3.org/2001/04/xmlenc#sha256"/>
        <DigestValue>K3300HIB+iKDuHVJokFDrQdoHo+qHhbnG3Tgq9B7SvE=</DigestValue>
      </Reference>
    </Manifest>
    <SignatureProperties>
      <SignatureProperty Id="idSignatureTime" Target="#idPackageSignature">
        <mdssi:SignatureTime xmlns:mdssi="http://schemas.openxmlformats.org/package/2006/digital-signature">
          <mdssi:Format>YYYY-MM-DDThh:mm:ssTZD</mdssi:Format>
          <mdssi:Value>2024-03-23T11:34:05Z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Firma del Auditor</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2024-03-23T11:34:05Z</xd:SigningTime>
          <xd:SigningCertificate>
            <xd:Cert>
              <xd:CertDigest>
                <DigestMethod Algorithm="http://www.w3.org/2001/04/xmlenc#sha256"/>
                <DigestValue>qAshwZsdMIgOZxVK8zYYWUguHdvYMovDp5Bhy0qYI6A=</DigestValue>
              </xd:CertDigest>
              <xd:IssuerSerial>
                <X509IssuerName>C=PY, O=DOCUMENTA S.A., SERIALNUMBER=RUC80050172-1, CN=CA-DOCUMENTA S.A.</X509IssuerName>
                <X509SerialNumber>5577701892728341047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CARATULA </vt:lpstr>
      <vt:lpstr>Información General</vt:lpstr>
      <vt:lpstr>Balance General</vt:lpstr>
      <vt:lpstr>Estado de Resultados</vt:lpstr>
      <vt:lpstr>Variación PN</vt:lpstr>
      <vt:lpstr>Flujo de Efectivo</vt:lpstr>
      <vt:lpstr>Notas a los EEFF</vt:lpstr>
      <vt:lpstr>Anexo 5a-5c</vt:lpstr>
      <vt:lpstr>Anexo 5d-5h</vt:lpstr>
      <vt:lpstr>Anexo 5i-5m</vt:lpstr>
      <vt:lpstr>Anexo 5n-5r</vt:lpstr>
      <vt:lpstr>Anexo 5s-5w</vt:lpstr>
      <vt:lpstr>Anexo 5x-5z</vt:lpstr>
      <vt:lpstr>Notas 6-11</vt:lpstr>
      <vt:lpstr>'Notas 6-11'!_Hlk47083218</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Dora Busto de Arzamendia</cp:lastModifiedBy>
  <cp:lastPrinted>2022-03-23T14:26:34Z</cp:lastPrinted>
  <dcterms:created xsi:type="dcterms:W3CDTF">2020-08-05T19:03:26Z</dcterms:created>
  <dcterms:modified xsi:type="dcterms:W3CDTF">2024-03-21T12:45:07Z</dcterms:modified>
  <cp:contentStatus/>
</cp:coreProperties>
</file>