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er_v\Downloads\"/>
    </mc:Choice>
  </mc:AlternateContent>
  <bookViews>
    <workbookView xWindow="0" yWindow="0" windowWidth="28800" windowHeight="12108" tabRatio="888" firstSheet="2" activeTab="2"/>
  </bookViews>
  <sheets>
    <sheet name="CARATULA " sheetId="16" r:id="rId1"/>
    <sheet name="Información General" sheetId="1" r:id="rId2"/>
    <sheet name="Balance General" sheetId="3" r:id="rId3"/>
    <sheet name="Estado de Resultados" sheetId="4" r:id="rId4"/>
    <sheet name="Variación PN" sheetId="15" r:id="rId5"/>
    <sheet name="Flujo de Efectivo" sheetId="5" r:id="rId6"/>
    <sheet name="Notas a los EEFF" sheetId="7" r:id="rId7"/>
    <sheet name="Anexo 5a-5c" sheetId="8" r:id="rId8"/>
    <sheet name="Anexo 5d-5h" sheetId="9" r:id="rId9"/>
    <sheet name="Anexo 5i-5m" sheetId="10" r:id="rId10"/>
    <sheet name="Anexo 5n-5r" sheetId="11" r:id="rId11"/>
    <sheet name="Anexo 5s-5w" sheetId="12" r:id="rId12"/>
    <sheet name="Anexo 5x-5z" sheetId="13" r:id="rId13"/>
    <sheet name="Notas 6-11" sheetId="14" r:id="rId14"/>
  </sheets>
  <definedNames>
    <definedName name="_Hlk47006462" localSheetId="2">'Balance General'!#REF!</definedName>
    <definedName name="_Hlk47083218" localSheetId="13">'Notas 6-11'!$C$10</definedName>
    <definedName name="_xlnm.Print_Area" localSheetId="6">'Notas a los EEFF'!$A$1:$B$41</definedName>
  </definedNames>
  <calcPr calcId="191029"/>
</workbook>
</file>

<file path=xl/calcChain.xml><?xml version="1.0" encoding="utf-8"?>
<calcChain xmlns="http://schemas.openxmlformats.org/spreadsheetml/2006/main">
  <c r="F53" i="3" l="1"/>
  <c r="C29" i="5" l="1"/>
  <c r="D17" i="12"/>
  <c r="D15" i="12"/>
  <c r="D14" i="12"/>
  <c r="D13" i="12"/>
  <c r="D12" i="12"/>
  <c r="E13" i="15"/>
  <c r="C18" i="12"/>
  <c r="E18" i="12" s="1"/>
  <c r="E19" i="12" s="1"/>
  <c r="C17" i="12"/>
  <c r="C15" i="12"/>
  <c r="C14" i="12"/>
  <c r="C13" i="12"/>
  <c r="C12" i="12"/>
  <c r="E67" i="11"/>
  <c r="L244" i="1"/>
  <c r="I244" i="1"/>
  <c r="K244" i="1" s="1"/>
  <c r="L243" i="1"/>
  <c r="I243" i="1"/>
  <c r="K243" i="1" s="1"/>
  <c r="L242" i="1"/>
  <c r="I242" i="1"/>
  <c r="K242" i="1" s="1"/>
  <c r="L241" i="1"/>
  <c r="I241" i="1"/>
  <c r="K241" i="1" s="1"/>
  <c r="L240" i="1"/>
  <c r="I240" i="1"/>
  <c r="K240" i="1" s="1"/>
  <c r="L239" i="1"/>
  <c r="I239" i="1"/>
  <c r="K239" i="1" s="1"/>
  <c r="L238" i="1"/>
  <c r="L237" i="1"/>
  <c r="K237" i="1"/>
  <c r="I237" i="1"/>
  <c r="L236" i="1"/>
  <c r="K236" i="1"/>
  <c r="J236" i="1"/>
  <c r="J245" i="1" s="1"/>
  <c r="I236" i="1"/>
  <c r="L235" i="1"/>
  <c r="I235" i="1"/>
  <c r="K235" i="1" s="1"/>
  <c r="L234" i="1"/>
  <c r="I234" i="1"/>
  <c r="K234" i="1" s="1"/>
  <c r="L233" i="1"/>
  <c r="I233" i="1"/>
  <c r="K233" i="1" s="1"/>
  <c r="L232" i="1"/>
  <c r="I232" i="1"/>
  <c r="K232" i="1" s="1"/>
  <c r="L231" i="1"/>
  <c r="I231" i="1"/>
  <c r="K231" i="1" s="1"/>
  <c r="L230" i="1"/>
  <c r="I230" i="1"/>
  <c r="K230" i="1" s="1"/>
  <c r="L229" i="1"/>
  <c r="I229" i="1"/>
  <c r="K229" i="1" s="1"/>
  <c r="L228" i="1"/>
  <c r="I228" i="1"/>
  <c r="K228" i="1" s="1"/>
  <c r="F228" i="1"/>
  <c r="G228" i="1" s="1"/>
  <c r="F229" i="1" s="1"/>
  <c r="G229" i="1" s="1"/>
  <c r="F230" i="1" s="1"/>
  <c r="G230" i="1" s="1"/>
  <c r="F231" i="1" s="1"/>
  <c r="G231" i="1" s="1"/>
  <c r="F232" i="1" s="1"/>
  <c r="G232" i="1" s="1"/>
  <c r="F233" i="1" s="1"/>
  <c r="G233" i="1" s="1"/>
  <c r="F234" i="1" s="1"/>
  <c r="G234" i="1" s="1"/>
  <c r="F235" i="1" s="1"/>
  <c r="G235" i="1" s="1"/>
  <c r="F236" i="1" s="1"/>
  <c r="G236" i="1" s="1"/>
  <c r="F237" i="1" s="1"/>
  <c r="G237" i="1" s="1"/>
  <c r="F238" i="1" s="1"/>
  <c r="G238" i="1" s="1"/>
  <c r="F239" i="1" s="1"/>
  <c r="G239" i="1" s="1"/>
  <c r="F240" i="1" s="1"/>
  <c r="G240" i="1" s="1"/>
  <c r="F241" i="1" s="1"/>
  <c r="G241" i="1" s="1"/>
  <c r="F242" i="1" s="1"/>
  <c r="G242" i="1" s="1"/>
  <c r="F243" i="1" s="1"/>
  <c r="G243" i="1" s="1"/>
  <c r="F244" i="1" s="1"/>
  <c r="G244" i="1" s="1"/>
  <c r="L227" i="1"/>
  <c r="I227" i="1"/>
  <c r="K227" i="1" s="1"/>
  <c r="L226" i="1"/>
  <c r="I226" i="1"/>
  <c r="K226" i="1" s="1"/>
  <c r="L225" i="1"/>
  <c r="I225" i="1"/>
  <c r="K225" i="1" s="1"/>
  <c r="L224" i="1"/>
  <c r="I224" i="1"/>
  <c r="K224" i="1" s="1"/>
  <c r="L223" i="1"/>
  <c r="I223" i="1"/>
  <c r="K223" i="1" s="1"/>
  <c r="L222" i="1"/>
  <c r="I222" i="1"/>
  <c r="K222" i="1" s="1"/>
  <c r="G222" i="1"/>
  <c r="L221" i="1"/>
  <c r="I221" i="1"/>
  <c r="K221" i="1" s="1"/>
  <c r="L220" i="1"/>
  <c r="K220" i="1"/>
  <c r="I220" i="1"/>
  <c r="L219" i="1"/>
  <c r="I219" i="1"/>
  <c r="K219" i="1" s="1"/>
  <c r="L218" i="1"/>
  <c r="K218" i="1"/>
  <c r="I218" i="1"/>
  <c r="L217" i="1"/>
  <c r="I217" i="1"/>
  <c r="K217" i="1" s="1"/>
  <c r="L216" i="1"/>
  <c r="K216" i="1"/>
  <c r="I216" i="1"/>
  <c r="L215" i="1"/>
  <c r="I215" i="1"/>
  <c r="K215" i="1" s="1"/>
  <c r="L214" i="1"/>
  <c r="K214" i="1"/>
  <c r="I214" i="1"/>
  <c r="L213" i="1"/>
  <c r="I213" i="1"/>
  <c r="K213" i="1" s="1"/>
  <c r="L212" i="1"/>
  <c r="K212" i="1"/>
  <c r="I212" i="1"/>
  <c r="L211" i="1"/>
  <c r="I211" i="1"/>
  <c r="K211" i="1" s="1"/>
  <c r="L210" i="1"/>
  <c r="K210" i="1"/>
  <c r="I210" i="1"/>
  <c r="L209" i="1"/>
  <c r="I209" i="1"/>
  <c r="K209" i="1" s="1"/>
  <c r="L208" i="1"/>
  <c r="K208" i="1"/>
  <c r="I208" i="1"/>
  <c r="L207" i="1"/>
  <c r="I207" i="1"/>
  <c r="K207" i="1" s="1"/>
  <c r="L206" i="1"/>
  <c r="K206" i="1"/>
  <c r="I206" i="1"/>
  <c r="L205" i="1"/>
  <c r="I205" i="1"/>
  <c r="K205" i="1" s="1"/>
  <c r="L204" i="1"/>
  <c r="K204" i="1"/>
  <c r="I204" i="1"/>
  <c r="L203" i="1"/>
  <c r="I203" i="1"/>
  <c r="K203" i="1" s="1"/>
  <c r="L202" i="1"/>
  <c r="K202" i="1"/>
  <c r="I202" i="1"/>
  <c r="L201" i="1"/>
  <c r="I201" i="1"/>
  <c r="K201" i="1" s="1"/>
  <c r="L200" i="1"/>
  <c r="K200" i="1"/>
  <c r="I200" i="1"/>
  <c r="L199" i="1"/>
  <c r="I199" i="1"/>
  <c r="K199" i="1" s="1"/>
  <c r="L198" i="1"/>
  <c r="K198" i="1"/>
  <c r="I198" i="1"/>
  <c r="L197" i="1"/>
  <c r="I197" i="1"/>
  <c r="K197" i="1" s="1"/>
  <c r="L196" i="1"/>
  <c r="I196" i="1"/>
  <c r="K196" i="1" s="1"/>
  <c r="L195" i="1"/>
  <c r="I195" i="1"/>
  <c r="K195" i="1" s="1"/>
  <c r="L194" i="1"/>
  <c r="K194" i="1"/>
  <c r="I194" i="1"/>
  <c r="L193" i="1"/>
  <c r="I193" i="1"/>
  <c r="K193" i="1" s="1"/>
  <c r="L192" i="1"/>
  <c r="K192" i="1"/>
  <c r="I192" i="1"/>
  <c r="L191" i="1"/>
  <c r="I191" i="1"/>
  <c r="K191" i="1" s="1"/>
  <c r="L190" i="1"/>
  <c r="K190" i="1"/>
  <c r="I190" i="1"/>
  <c r="L189" i="1"/>
  <c r="I189" i="1"/>
  <c r="K189" i="1" s="1"/>
  <c r="L188" i="1"/>
  <c r="I188" i="1"/>
  <c r="K188" i="1" s="1"/>
  <c r="L187" i="1"/>
  <c r="I187" i="1"/>
  <c r="K187" i="1" s="1"/>
  <c r="L186" i="1"/>
  <c r="K186" i="1"/>
  <c r="I186" i="1"/>
  <c r="L185" i="1"/>
  <c r="I185" i="1"/>
  <c r="K185" i="1" s="1"/>
  <c r="L184" i="1"/>
  <c r="K184" i="1"/>
  <c r="I184" i="1"/>
  <c r="L183" i="1"/>
  <c r="I183" i="1"/>
  <c r="K183" i="1" s="1"/>
  <c r="L182" i="1"/>
  <c r="K182" i="1"/>
  <c r="I182" i="1"/>
  <c r="L181" i="1"/>
  <c r="I181" i="1"/>
  <c r="K181" i="1" s="1"/>
  <c r="L180" i="1"/>
  <c r="I180" i="1"/>
  <c r="K180" i="1" s="1"/>
  <c r="L179" i="1"/>
  <c r="I179" i="1"/>
  <c r="K179" i="1" s="1"/>
  <c r="L178" i="1"/>
  <c r="K178" i="1"/>
  <c r="I178" i="1"/>
  <c r="L177" i="1"/>
  <c r="I177" i="1"/>
  <c r="K177" i="1" s="1"/>
  <c r="L176" i="1"/>
  <c r="K176" i="1"/>
  <c r="I176" i="1"/>
  <c r="L175" i="1"/>
  <c r="I175" i="1"/>
  <c r="K175" i="1" s="1"/>
  <c r="L174" i="1"/>
  <c r="K174" i="1"/>
  <c r="I174" i="1"/>
  <c r="L173" i="1"/>
  <c r="I173" i="1"/>
  <c r="K173" i="1" s="1"/>
  <c r="L172" i="1"/>
  <c r="I172" i="1"/>
  <c r="K172" i="1" s="1"/>
  <c r="L171" i="1"/>
  <c r="I171" i="1"/>
  <c r="K171" i="1" s="1"/>
  <c r="L170" i="1"/>
  <c r="K170" i="1"/>
  <c r="I170" i="1"/>
  <c r="L169" i="1"/>
  <c r="I169" i="1"/>
  <c r="K169" i="1" s="1"/>
  <c r="L168" i="1"/>
  <c r="K168" i="1"/>
  <c r="I168" i="1"/>
  <c r="L167" i="1"/>
  <c r="I167" i="1"/>
  <c r="K167" i="1" s="1"/>
  <c r="L166" i="1"/>
  <c r="K166" i="1"/>
  <c r="I166" i="1"/>
  <c r="L165" i="1"/>
  <c r="I165" i="1"/>
  <c r="K165" i="1" s="1"/>
  <c r="L164" i="1"/>
  <c r="I164" i="1"/>
  <c r="K164" i="1" s="1"/>
  <c r="L163" i="1"/>
  <c r="I163" i="1"/>
  <c r="K163" i="1" s="1"/>
  <c r="L162" i="1"/>
  <c r="K162" i="1"/>
  <c r="I162" i="1"/>
  <c r="L161" i="1"/>
  <c r="I161" i="1"/>
  <c r="K161" i="1" s="1"/>
  <c r="L160" i="1"/>
  <c r="K160" i="1"/>
  <c r="I160" i="1"/>
  <c r="L159" i="1"/>
  <c r="I159" i="1"/>
  <c r="K159" i="1" s="1"/>
  <c r="L158" i="1"/>
  <c r="K158" i="1"/>
  <c r="I158" i="1"/>
  <c r="L157" i="1"/>
  <c r="I157" i="1"/>
  <c r="K157" i="1" s="1"/>
  <c r="L156" i="1"/>
  <c r="I156" i="1"/>
  <c r="K156" i="1" s="1"/>
  <c r="L155" i="1"/>
  <c r="I155" i="1"/>
  <c r="K155" i="1" s="1"/>
  <c r="L154" i="1"/>
  <c r="K154" i="1"/>
  <c r="I154" i="1"/>
  <c r="L153" i="1"/>
  <c r="I153" i="1"/>
  <c r="K153" i="1" s="1"/>
  <c r="L152" i="1"/>
  <c r="I152" i="1"/>
  <c r="K152" i="1" s="1"/>
  <c r="L151" i="1"/>
  <c r="I151" i="1"/>
  <c r="K151" i="1" s="1"/>
  <c r="L150" i="1"/>
  <c r="K150" i="1"/>
  <c r="I150" i="1"/>
  <c r="L149" i="1"/>
  <c r="I149" i="1"/>
  <c r="K149" i="1" s="1"/>
  <c r="L148" i="1"/>
  <c r="I148" i="1"/>
  <c r="K148" i="1" s="1"/>
  <c r="L147" i="1"/>
  <c r="I147" i="1"/>
  <c r="K147" i="1" s="1"/>
  <c r="L146" i="1"/>
  <c r="K146" i="1"/>
  <c r="I146" i="1"/>
  <c r="L145" i="1"/>
  <c r="I145" i="1"/>
  <c r="K145" i="1" s="1"/>
  <c r="L144" i="1"/>
  <c r="K144" i="1"/>
  <c r="I144" i="1"/>
  <c r="L143" i="1"/>
  <c r="I143" i="1"/>
  <c r="K143" i="1" s="1"/>
  <c r="L142" i="1"/>
  <c r="K142" i="1"/>
  <c r="I142" i="1"/>
  <c r="L141" i="1"/>
  <c r="I141" i="1"/>
  <c r="K141" i="1" s="1"/>
  <c r="L140" i="1"/>
  <c r="I140" i="1"/>
  <c r="K140" i="1" s="1"/>
  <c r="L139" i="1"/>
  <c r="I139" i="1"/>
  <c r="K139" i="1" s="1"/>
  <c r="L138" i="1"/>
  <c r="K138" i="1"/>
  <c r="I138" i="1"/>
  <c r="L137" i="1"/>
  <c r="I137" i="1"/>
  <c r="K137" i="1" s="1"/>
  <c r="L136" i="1"/>
  <c r="K136" i="1"/>
  <c r="I136" i="1"/>
  <c r="L135" i="1"/>
  <c r="I135" i="1"/>
  <c r="K135" i="1" s="1"/>
  <c r="L134" i="1"/>
  <c r="K134" i="1"/>
  <c r="I134" i="1"/>
  <c r="L133" i="1"/>
  <c r="I133" i="1"/>
  <c r="K133" i="1" s="1"/>
  <c r="L132" i="1"/>
  <c r="I132" i="1"/>
  <c r="K132" i="1" s="1"/>
  <c r="L131" i="1"/>
  <c r="I131" i="1"/>
  <c r="K131" i="1" s="1"/>
  <c r="L130" i="1"/>
  <c r="K130" i="1"/>
  <c r="I130" i="1"/>
  <c r="L129" i="1"/>
  <c r="I129" i="1"/>
  <c r="K129" i="1" s="1"/>
  <c r="L128" i="1"/>
  <c r="K128" i="1"/>
  <c r="I128" i="1"/>
  <c r="L127" i="1"/>
  <c r="I127" i="1"/>
  <c r="K127" i="1" s="1"/>
  <c r="L126" i="1"/>
  <c r="K126" i="1"/>
  <c r="I126" i="1"/>
  <c r="L125" i="1"/>
  <c r="I125" i="1"/>
  <c r="K125" i="1" s="1"/>
  <c r="L124" i="1"/>
  <c r="I124" i="1"/>
  <c r="K124" i="1" s="1"/>
  <c r="L123" i="1"/>
  <c r="I123" i="1"/>
  <c r="K123" i="1" s="1"/>
  <c r="L122" i="1"/>
  <c r="K122" i="1"/>
  <c r="I122" i="1"/>
  <c r="L121" i="1"/>
  <c r="I121" i="1"/>
  <c r="K121" i="1" s="1"/>
  <c r="L120" i="1"/>
  <c r="I120" i="1"/>
  <c r="K120" i="1" s="1"/>
  <c r="L119" i="1"/>
  <c r="I119" i="1"/>
  <c r="K119" i="1" s="1"/>
  <c r="L118" i="1"/>
  <c r="K118" i="1"/>
  <c r="I118" i="1"/>
  <c r="L117" i="1"/>
  <c r="I117" i="1"/>
  <c r="K117" i="1" s="1"/>
  <c r="L116" i="1"/>
  <c r="I116" i="1"/>
  <c r="K116" i="1" s="1"/>
  <c r="L115" i="1"/>
  <c r="I115" i="1"/>
  <c r="K115" i="1" s="1"/>
  <c r="L114" i="1"/>
  <c r="K114" i="1"/>
  <c r="I114" i="1"/>
  <c r="L113" i="1"/>
  <c r="I113" i="1"/>
  <c r="K113" i="1" s="1"/>
  <c r="L112" i="1"/>
  <c r="I112" i="1"/>
  <c r="K112" i="1" s="1"/>
  <c r="L111" i="1"/>
  <c r="I111" i="1"/>
  <c r="K111" i="1" s="1"/>
  <c r="L110" i="1"/>
  <c r="K110" i="1"/>
  <c r="I110" i="1"/>
  <c r="L109" i="1"/>
  <c r="I109" i="1"/>
  <c r="K109" i="1" s="1"/>
  <c r="L108" i="1"/>
  <c r="I108" i="1"/>
  <c r="K108" i="1" s="1"/>
  <c r="L107" i="1"/>
  <c r="K107" i="1"/>
  <c r="I107" i="1"/>
  <c r="L106" i="1"/>
  <c r="K106" i="1"/>
  <c r="I106" i="1"/>
  <c r="L105" i="1"/>
  <c r="I105" i="1"/>
  <c r="K105" i="1" s="1"/>
  <c r="L104" i="1"/>
  <c r="I104" i="1"/>
  <c r="K104" i="1" s="1"/>
  <c r="L103" i="1"/>
  <c r="I103" i="1"/>
  <c r="K103" i="1" s="1"/>
  <c r="L102" i="1"/>
  <c r="K102" i="1"/>
  <c r="I102" i="1"/>
  <c r="L101" i="1"/>
  <c r="I101" i="1"/>
  <c r="K101" i="1" s="1"/>
  <c r="L100" i="1"/>
  <c r="I100" i="1"/>
  <c r="K100" i="1" s="1"/>
  <c r="L99" i="1"/>
  <c r="K99" i="1"/>
  <c r="I99" i="1"/>
  <c r="L98" i="1"/>
  <c r="K98" i="1"/>
  <c r="I98" i="1"/>
  <c r="L97" i="1"/>
  <c r="I97" i="1"/>
  <c r="K97" i="1" s="1"/>
  <c r="L96" i="1"/>
  <c r="I96" i="1"/>
  <c r="K96" i="1" s="1"/>
  <c r="L95" i="1"/>
  <c r="I95" i="1"/>
  <c r="K95" i="1" s="1"/>
  <c r="L94" i="1"/>
  <c r="K94" i="1"/>
  <c r="I94" i="1"/>
  <c r="L93" i="1"/>
  <c r="I93" i="1"/>
  <c r="K93" i="1" s="1"/>
  <c r="L92" i="1"/>
  <c r="I92" i="1"/>
  <c r="K92" i="1" s="1"/>
  <c r="L91" i="1"/>
  <c r="K91" i="1"/>
  <c r="I91" i="1"/>
  <c r="L90" i="1"/>
  <c r="K90" i="1"/>
  <c r="I90" i="1"/>
  <c r="L89" i="1"/>
  <c r="I89" i="1"/>
  <c r="K89" i="1" s="1"/>
  <c r="L88" i="1"/>
  <c r="I88" i="1"/>
  <c r="K88" i="1" s="1"/>
  <c r="L87" i="1"/>
  <c r="K87" i="1"/>
  <c r="I87" i="1"/>
  <c r="L86" i="1"/>
  <c r="K86" i="1"/>
  <c r="I86" i="1"/>
  <c r="L85" i="1"/>
  <c r="I85" i="1"/>
  <c r="K85" i="1" s="1"/>
  <c r="L84" i="1"/>
  <c r="I84" i="1"/>
  <c r="K84" i="1" s="1"/>
  <c r="L83" i="1"/>
  <c r="K83" i="1"/>
  <c r="I83" i="1"/>
  <c r="L82" i="1"/>
  <c r="I82" i="1"/>
  <c r="K82" i="1" s="1"/>
  <c r="L81" i="1"/>
  <c r="I81" i="1"/>
  <c r="K81" i="1" s="1"/>
  <c r="L80" i="1"/>
  <c r="I80" i="1"/>
  <c r="K80" i="1" s="1"/>
  <c r="L79" i="1"/>
  <c r="I79" i="1"/>
  <c r="K79" i="1" s="1"/>
  <c r="L78" i="1"/>
  <c r="I78" i="1"/>
  <c r="K78" i="1" s="1"/>
  <c r="L77" i="1"/>
  <c r="K77" i="1"/>
  <c r="I77" i="1"/>
  <c r="L76" i="1"/>
  <c r="I76" i="1"/>
  <c r="K76" i="1" s="1"/>
  <c r="L75" i="1"/>
  <c r="I75" i="1"/>
  <c r="K75" i="1" s="1"/>
  <c r="L74" i="1"/>
  <c r="I74" i="1"/>
  <c r="K74" i="1" s="1"/>
  <c r="L73" i="1"/>
  <c r="I73" i="1"/>
  <c r="K73" i="1" s="1"/>
  <c r="L72" i="1"/>
  <c r="K72" i="1"/>
  <c r="I72" i="1"/>
  <c r="L71" i="1"/>
  <c r="I71" i="1"/>
  <c r="K71" i="1" s="1"/>
  <c r="L70" i="1"/>
  <c r="I70" i="1"/>
  <c r="K70" i="1" s="1"/>
  <c r="L69" i="1"/>
  <c r="I69" i="1"/>
  <c r="K69" i="1" s="1"/>
  <c r="L68" i="1"/>
  <c r="I68" i="1"/>
  <c r="K68" i="1" s="1"/>
  <c r="L67" i="1"/>
  <c r="I67" i="1"/>
  <c r="K67" i="1" s="1"/>
  <c r="L66" i="1"/>
  <c r="I66" i="1"/>
  <c r="K66" i="1" s="1"/>
  <c r="L65" i="1"/>
  <c r="I65" i="1"/>
  <c r="K65" i="1" s="1"/>
  <c r="L64" i="1"/>
  <c r="I64" i="1"/>
  <c r="K64" i="1" s="1"/>
  <c r="L63" i="1"/>
  <c r="I63" i="1"/>
  <c r="K63" i="1" s="1"/>
  <c r="L62" i="1"/>
  <c r="I62" i="1"/>
  <c r="K62" i="1" s="1"/>
  <c r="L61" i="1"/>
  <c r="I61" i="1"/>
  <c r="K61" i="1" s="1"/>
  <c r="D55" i="1"/>
  <c r="K245" i="1" l="1"/>
  <c r="D248" i="1" s="1"/>
  <c r="L245" i="1"/>
  <c r="M68" i="1" s="1"/>
  <c r="D249" i="1"/>
  <c r="D250" i="1" s="1"/>
  <c r="M135" i="1" l="1"/>
  <c r="M74" i="1"/>
  <c r="M103" i="1"/>
  <c r="M129" i="1"/>
  <c r="M238" i="1"/>
  <c r="M98" i="1"/>
  <c r="M96" i="1"/>
  <c r="M232" i="1"/>
  <c r="M80" i="1"/>
  <c r="M107" i="1"/>
  <c r="M62" i="1"/>
  <c r="M155" i="1"/>
  <c r="M165" i="1"/>
  <c r="M72" i="1"/>
  <c r="M117" i="1"/>
  <c r="M131" i="1"/>
  <c r="M127" i="1"/>
  <c r="M66" i="1"/>
  <c r="M151" i="1"/>
  <c r="M197" i="1"/>
  <c r="M109" i="1"/>
  <c r="M78" i="1"/>
  <c r="M137" i="1"/>
  <c r="M147" i="1"/>
  <c r="M143" i="1"/>
  <c r="M242" i="1"/>
  <c r="M86" i="1"/>
  <c r="M236" i="1"/>
  <c r="M113" i="1"/>
  <c r="M70" i="1"/>
  <c r="M239" i="1"/>
  <c r="M229" i="1"/>
  <c r="M141" i="1"/>
  <c r="M224" i="1"/>
  <c r="M228" i="1"/>
  <c r="M111" i="1"/>
  <c r="M227" i="1"/>
  <c r="M230" i="1"/>
  <c r="M105" i="1"/>
  <c r="M225" i="1"/>
  <c r="M233" i="1"/>
  <c r="M187" i="1"/>
  <c r="M133" i="1"/>
  <c r="M185" i="1"/>
  <c r="M97" i="1"/>
  <c r="M88" i="1"/>
  <c r="M226" i="1"/>
  <c r="M163" i="1"/>
  <c r="M101" i="1"/>
  <c r="M100" i="1"/>
  <c r="M90" i="1"/>
  <c r="M183" i="1"/>
  <c r="M95" i="1"/>
  <c r="M92" i="1"/>
  <c r="M161" i="1"/>
  <c r="M89" i="1"/>
  <c r="M221" i="1"/>
  <c r="M222" i="1"/>
  <c r="E249" i="1" s="1"/>
  <c r="M139" i="1"/>
  <c r="M82" i="1"/>
  <c r="M159" i="1"/>
  <c r="M87" i="1"/>
  <c r="M84" i="1"/>
  <c r="M153" i="1"/>
  <c r="M219" i="1"/>
  <c r="M189" i="1"/>
  <c r="M102" i="1"/>
  <c r="M115" i="1"/>
  <c r="M243" i="1"/>
  <c r="M217" i="1"/>
  <c r="M215" i="1"/>
  <c r="M213" i="1"/>
  <c r="M211" i="1"/>
  <c r="M209" i="1"/>
  <c r="M207" i="1"/>
  <c r="M205" i="1"/>
  <c r="M203" i="1"/>
  <c r="M201" i="1"/>
  <c r="M199" i="1"/>
  <c r="M195" i="1"/>
  <c r="M193" i="1"/>
  <c r="M191" i="1"/>
  <c r="M181" i="1"/>
  <c r="M177" i="1"/>
  <c r="M175" i="1"/>
  <c r="M173" i="1"/>
  <c r="M171" i="1"/>
  <c r="M169" i="1"/>
  <c r="M167" i="1"/>
  <c r="M157" i="1"/>
  <c r="M125" i="1"/>
  <c r="M123" i="1"/>
  <c r="M121" i="1"/>
  <c r="M119" i="1"/>
  <c r="M93" i="1"/>
  <c r="M91" i="1"/>
  <c r="M85" i="1"/>
  <c r="M83" i="1"/>
  <c r="M81" i="1"/>
  <c r="M79" i="1"/>
  <c r="M77" i="1"/>
  <c r="M75" i="1"/>
  <c r="M73" i="1"/>
  <c r="M244" i="1"/>
  <c r="M240" i="1"/>
  <c r="M237" i="1"/>
  <c r="M241" i="1"/>
  <c r="M220" i="1"/>
  <c r="M218" i="1"/>
  <c r="M216" i="1"/>
  <c r="M214" i="1"/>
  <c r="M212" i="1"/>
  <c r="M210" i="1"/>
  <c r="M208" i="1"/>
  <c r="M206" i="1"/>
  <c r="M204" i="1"/>
  <c r="M202" i="1"/>
  <c r="M200" i="1"/>
  <c r="M198" i="1"/>
  <c r="M196" i="1"/>
  <c r="M194" i="1"/>
  <c r="M192" i="1"/>
  <c r="M190" i="1"/>
  <c r="M188" i="1"/>
  <c r="M186" i="1"/>
  <c r="M184" i="1"/>
  <c r="M182" i="1"/>
  <c r="M180" i="1"/>
  <c r="M178" i="1"/>
  <c r="M176" i="1"/>
  <c r="M174" i="1"/>
  <c r="M172" i="1"/>
  <c r="M170" i="1"/>
  <c r="M168" i="1"/>
  <c r="M166" i="1"/>
  <c r="M164" i="1"/>
  <c r="M162" i="1"/>
  <c r="M160" i="1"/>
  <c r="M158" i="1"/>
  <c r="M156" i="1"/>
  <c r="M154" i="1"/>
  <c r="M152" i="1"/>
  <c r="M150" i="1"/>
  <c r="M148" i="1"/>
  <c r="M146" i="1"/>
  <c r="M144" i="1"/>
  <c r="M142" i="1"/>
  <c r="M140" i="1"/>
  <c r="M138" i="1"/>
  <c r="M136" i="1"/>
  <c r="M134" i="1"/>
  <c r="M132" i="1"/>
  <c r="M130" i="1"/>
  <c r="M128" i="1"/>
  <c r="M126" i="1"/>
  <c r="M124" i="1"/>
  <c r="M122" i="1"/>
  <c r="M120" i="1"/>
  <c r="M118" i="1"/>
  <c r="M116" i="1"/>
  <c r="M114" i="1"/>
  <c r="M112" i="1"/>
  <c r="M110" i="1"/>
  <c r="M108" i="1"/>
  <c r="M106" i="1"/>
  <c r="M104" i="1"/>
  <c r="M234" i="1"/>
  <c r="M235" i="1"/>
  <c r="M231" i="1"/>
  <c r="M223" i="1"/>
  <c r="M69" i="1"/>
  <c r="M67" i="1"/>
  <c r="M65" i="1"/>
  <c r="M63" i="1"/>
  <c r="M61" i="1"/>
  <c r="M71" i="1"/>
  <c r="M76" i="1"/>
  <c r="M145" i="1"/>
  <c r="M179" i="1"/>
  <c r="M149" i="1"/>
  <c r="M94" i="1"/>
  <c r="M99" i="1"/>
  <c r="M64" i="1"/>
  <c r="E248" i="1" l="1"/>
  <c r="E250" i="1" s="1"/>
  <c r="M245" i="1"/>
  <c r="D95" i="9" l="1"/>
  <c r="C40" i="4" l="1"/>
  <c r="C43" i="4"/>
  <c r="E29" i="8"/>
  <c r="E23" i="8"/>
  <c r="F23" i="8" s="1"/>
  <c r="D38" i="5" l="1"/>
  <c r="D28" i="5"/>
  <c r="D25" i="5"/>
  <c r="C38" i="5"/>
  <c r="C34" i="5"/>
  <c r="C30" i="5"/>
  <c r="C28" i="5"/>
  <c r="C25" i="5"/>
  <c r="C21" i="5"/>
  <c r="E9" i="10" l="1"/>
  <c r="D9" i="10"/>
  <c r="C9" i="10"/>
  <c r="D64" i="12"/>
  <c r="D29" i="12"/>
  <c r="E36" i="8"/>
  <c r="E35" i="8"/>
  <c r="I11" i="15" l="1"/>
  <c r="D11" i="15"/>
  <c r="D13" i="15"/>
  <c r="C64" i="12"/>
  <c r="I29" i="8"/>
  <c r="D39" i="5" l="1"/>
  <c r="D103" i="12" l="1"/>
  <c r="F18" i="12" l="1"/>
  <c r="F17" i="12"/>
  <c r="F15" i="12"/>
  <c r="F14" i="12"/>
  <c r="F13" i="12"/>
  <c r="F12" i="12"/>
  <c r="D42" i="10"/>
  <c r="H98" i="9"/>
  <c r="H99" i="9" s="1"/>
  <c r="C98" i="9"/>
  <c r="C99" i="9" s="1"/>
  <c r="G95" i="9"/>
  <c r="G96" i="9"/>
  <c r="F74" i="11" l="1"/>
  <c r="E74" i="11"/>
  <c r="F67" i="11"/>
  <c r="F59" i="11"/>
  <c r="E59" i="11"/>
  <c r="D85" i="9" l="1"/>
  <c r="D20" i="3" s="1"/>
  <c r="C85" i="9"/>
  <c r="C20" i="3" s="1"/>
  <c r="F98" i="9" l="1"/>
  <c r="D98" i="9"/>
  <c r="G51" i="3"/>
  <c r="F51" i="3"/>
  <c r="G47" i="3"/>
  <c r="C16" i="12" s="1"/>
  <c r="F47" i="3"/>
  <c r="D16" i="12" s="1"/>
  <c r="D19" i="12" s="1"/>
  <c r="C19" i="12" l="1"/>
  <c r="F16" i="12"/>
  <c r="F19" i="12" s="1"/>
  <c r="G55" i="3"/>
  <c r="F55" i="3"/>
  <c r="C20" i="4"/>
  <c r="L96" i="9" l="1"/>
  <c r="D32" i="11" l="1"/>
  <c r="G26" i="3" s="1"/>
  <c r="C32" i="11"/>
  <c r="F26" i="3" s="1"/>
  <c r="D20" i="4" l="1"/>
  <c r="H17" i="15"/>
  <c r="M17" i="15" s="1"/>
  <c r="H11" i="15"/>
  <c r="H20" i="15" s="1"/>
  <c r="K16" i="15"/>
  <c r="M16" i="15" s="1"/>
  <c r="E11" i="15"/>
  <c r="D44" i="11"/>
  <c r="G27" i="3" s="1"/>
  <c r="D12" i="5" s="1"/>
  <c r="G62" i="3"/>
  <c r="F62" i="3"/>
  <c r="D62" i="3"/>
  <c r="C62" i="3"/>
  <c r="C10" i="11"/>
  <c r="F35" i="3" s="1"/>
  <c r="D10" i="11"/>
  <c r="G35" i="3" s="1"/>
  <c r="D18" i="11"/>
  <c r="G14" i="3" s="1"/>
  <c r="C18" i="11"/>
  <c r="F14" i="3" s="1"/>
  <c r="C44" i="11" l="1"/>
  <c r="F27" i="3" s="1"/>
  <c r="C12" i="5" s="1"/>
  <c r="D34" i="10" l="1"/>
  <c r="D47" i="3" s="1"/>
  <c r="C34" i="10"/>
  <c r="C47" i="3" s="1"/>
  <c r="F8" i="10"/>
  <c r="E10" i="10"/>
  <c r="C10" i="10"/>
  <c r="L95" i="9"/>
  <c r="K98" i="9"/>
  <c r="I98" i="9"/>
  <c r="F10" i="10" l="1"/>
  <c r="D44" i="3" s="1"/>
  <c r="F9" i="10"/>
  <c r="C44" i="3" s="1"/>
  <c r="L99" i="9"/>
  <c r="D41" i="3" s="1"/>
  <c r="G99" i="9"/>
  <c r="D40" i="3" s="1"/>
  <c r="J97" i="9"/>
  <c r="J98" i="9" s="1"/>
  <c r="E97" i="9"/>
  <c r="D50" i="9"/>
  <c r="D21" i="3" s="1"/>
  <c r="E98" i="9" l="1"/>
  <c r="G97" i="9"/>
  <c r="G98" i="9" s="1"/>
  <c r="M99" i="9"/>
  <c r="H27" i="8" l="1"/>
  <c r="I27" i="8" s="1"/>
  <c r="H26" i="8"/>
  <c r="I26" i="8" s="1"/>
  <c r="H25" i="8"/>
  <c r="I25" i="8" s="1"/>
  <c r="H24" i="8"/>
  <c r="I24" i="8" s="1"/>
  <c r="H22" i="8"/>
  <c r="I22" i="8" s="1"/>
  <c r="C36" i="8"/>
  <c r="D7" i="12" l="1"/>
  <c r="C7" i="12"/>
  <c r="C29" i="12"/>
  <c r="F25" i="3" l="1"/>
  <c r="F29" i="8"/>
  <c r="E27" i="8"/>
  <c r="F27" i="8" s="1"/>
  <c r="E26" i="8"/>
  <c r="E25" i="8"/>
  <c r="F25" i="8" s="1"/>
  <c r="E24" i="8"/>
  <c r="F24" i="8" s="1"/>
  <c r="E22" i="8"/>
  <c r="F22" i="8" s="1"/>
  <c r="C90" i="10"/>
  <c r="C35" i="8"/>
  <c r="C22" i="9"/>
  <c r="F13" i="15"/>
  <c r="F11" i="15"/>
  <c r="D108" i="9"/>
  <c r="C108" i="9"/>
  <c r="I14" i="15"/>
  <c r="I19" i="15" s="1"/>
  <c r="C57" i="10"/>
  <c r="F33" i="3" s="1"/>
  <c r="F32" i="3" s="1"/>
  <c r="F37" i="3" s="1"/>
  <c r="D57" i="10"/>
  <c r="G33" i="3" s="1"/>
  <c r="G32" i="3" s="1"/>
  <c r="G37" i="3" s="1"/>
  <c r="D22" i="9"/>
  <c r="D13" i="3" s="1"/>
  <c r="D42" i="12"/>
  <c r="C74" i="12"/>
  <c r="C25" i="4" s="1"/>
  <c r="C22" i="4" s="1"/>
  <c r="D74" i="12"/>
  <c r="C42" i="12"/>
  <c r="K11" i="15"/>
  <c r="K20" i="15" s="1"/>
  <c r="L18" i="15"/>
  <c r="M18" i="15" s="1"/>
  <c r="G14" i="15"/>
  <c r="L11" i="15"/>
  <c r="K15" i="15" s="1"/>
  <c r="J11" i="15"/>
  <c r="J19" i="15" s="1"/>
  <c r="G11" i="15"/>
  <c r="D90" i="10"/>
  <c r="G13" i="3" s="1"/>
  <c r="C50" i="9"/>
  <c r="C21" i="3" s="1"/>
  <c r="D27" i="10"/>
  <c r="D25" i="3" s="1"/>
  <c r="D57" i="9"/>
  <c r="D22" i="3" s="1"/>
  <c r="C19" i="15"/>
  <c r="D32" i="5"/>
  <c r="E20" i="15"/>
  <c r="E19" i="15"/>
  <c r="C20" i="15"/>
  <c r="M20" i="15"/>
  <c r="D20" i="15"/>
  <c r="F20" i="3"/>
  <c r="D32" i="4"/>
  <c r="D26" i="4" s="1"/>
  <c r="C103" i="12"/>
  <c r="C32" i="4" s="1"/>
  <c r="C26" i="4" s="1"/>
  <c r="D55" i="12"/>
  <c r="D19" i="4" s="1"/>
  <c r="D17" i="4" s="1"/>
  <c r="C55" i="12"/>
  <c r="C19" i="4" s="1"/>
  <c r="C17" i="4" s="1"/>
  <c r="M95" i="9"/>
  <c r="F33" i="9"/>
  <c r="C13" i="13"/>
  <c r="C35" i="4" s="1"/>
  <c r="M96" i="9"/>
  <c r="C32" i="3"/>
  <c r="C15" i="3"/>
  <c r="C27" i="10"/>
  <c r="L97" i="9"/>
  <c r="C57" i="9"/>
  <c r="C22" i="3" s="1"/>
  <c r="D36" i="13"/>
  <c r="D42" i="4" s="1"/>
  <c r="C36" i="13"/>
  <c r="C42" i="4" s="1"/>
  <c r="C37" i="5" s="1"/>
  <c r="C39" i="5" s="1"/>
  <c r="C29" i="13"/>
  <c r="C39" i="4" s="1"/>
  <c r="D29" i="13"/>
  <c r="D39" i="4" s="1"/>
  <c r="D13" i="13"/>
  <c r="D35" i="4" s="1"/>
  <c r="C95" i="10"/>
  <c r="F12" i="3" s="1"/>
  <c r="D95" i="10"/>
  <c r="G12" i="3" s="1"/>
  <c r="C47" i="10"/>
  <c r="F18" i="3" s="1"/>
  <c r="D47" i="10"/>
  <c r="G18" i="3" s="1"/>
  <c r="C42" i="10"/>
  <c r="F17" i="3" s="1"/>
  <c r="G17" i="3"/>
  <c r="G25" i="3"/>
  <c r="G20" i="3"/>
  <c r="D46" i="3"/>
  <c r="D32" i="3"/>
  <c r="C46" i="3"/>
  <c r="H19" i="15"/>
  <c r="D15" i="3"/>
  <c r="D25" i="4" l="1"/>
  <c r="D22" i="4" s="1"/>
  <c r="M14" i="15"/>
  <c r="M97" i="9"/>
  <c r="L98" i="9"/>
  <c r="M98" i="9" s="1"/>
  <c r="D19" i="3"/>
  <c r="L15" i="15"/>
  <c r="M15" i="15"/>
  <c r="C13" i="3"/>
  <c r="C11" i="3" s="1"/>
  <c r="D16" i="4"/>
  <c r="D11" i="3"/>
  <c r="C19" i="3"/>
  <c r="G11" i="3"/>
  <c r="D19" i="5" s="1"/>
  <c r="D24" i="3"/>
  <c r="D19" i="15"/>
  <c r="M13" i="15"/>
  <c r="D55" i="3"/>
  <c r="G16" i="3"/>
  <c r="F13" i="3"/>
  <c r="F11" i="3" s="1"/>
  <c r="C16" i="4"/>
  <c r="L20" i="15"/>
  <c r="K19" i="15"/>
  <c r="F16" i="3"/>
  <c r="C25" i="3"/>
  <c r="C31" i="5" s="1"/>
  <c r="C40" i="3"/>
  <c r="F26" i="8"/>
  <c r="F19" i="15"/>
  <c r="J20" i="15"/>
  <c r="G19" i="15"/>
  <c r="F20" i="15"/>
  <c r="G20" i="15"/>
  <c r="N11" i="15"/>
  <c r="C19" i="5" l="1"/>
  <c r="D8" i="4"/>
  <c r="D11" i="5"/>
  <c r="C8" i="4"/>
  <c r="C21" i="4" s="1"/>
  <c r="C33" i="4" s="1"/>
  <c r="C44" i="4" s="1"/>
  <c r="C11" i="5"/>
  <c r="D29" i="3"/>
  <c r="D56" i="3" s="1"/>
  <c r="N20" i="15"/>
  <c r="G29" i="3"/>
  <c r="G40" i="3" s="1"/>
  <c r="G56" i="3" s="1"/>
  <c r="C24" i="3"/>
  <c r="C29" i="3"/>
  <c r="F29" i="3"/>
  <c r="D21" i="4"/>
  <c r="D33" i="4" s="1"/>
  <c r="C41" i="3"/>
  <c r="C27" i="5" s="1"/>
  <c r="C32" i="5" s="1"/>
  <c r="L19" i="15"/>
  <c r="M19" i="15" s="1"/>
  <c r="C47" i="4" l="1"/>
  <c r="C14" i="5"/>
  <c r="C22" i="5" s="1"/>
  <c r="C41" i="5" s="1"/>
  <c r="F40" i="3"/>
  <c r="F56" i="3" s="1"/>
  <c r="D44" i="4"/>
  <c r="C55" i="3"/>
  <c r="C56" i="3" s="1"/>
  <c r="D47" i="4" l="1"/>
  <c r="D14" i="5"/>
  <c r="D22" i="5" s="1"/>
  <c r="D41" i="5" s="1"/>
  <c r="D43" i="5" s="1"/>
  <c r="C42" i="5" l="1"/>
  <c r="C43" i="5" s="1"/>
</calcChain>
</file>

<file path=xl/sharedStrings.xml><?xml version="1.0" encoding="utf-8"?>
<sst xmlns="http://schemas.openxmlformats.org/spreadsheetml/2006/main" count="1552" uniqueCount="772">
  <si>
    <t xml:space="preserve">INFORMACION GENERAL DE LA ENTIDAD </t>
  </si>
  <si>
    <t>CARGO</t>
  </si>
  <si>
    <t>NOMBRE Y APELLIDO</t>
  </si>
  <si>
    <t xml:space="preserve">Presidente </t>
  </si>
  <si>
    <t>Vicepresidente</t>
  </si>
  <si>
    <t>Capital a Integrar</t>
  </si>
  <si>
    <t>Cantidad</t>
  </si>
  <si>
    <t>Activo</t>
  </si>
  <si>
    <t>PERIODO    ACTUAL</t>
  </si>
  <si>
    <t>PASIVO</t>
  </si>
  <si>
    <t>Activo Corriente</t>
  </si>
  <si>
    <t xml:space="preserve">Caja                                                                                              </t>
  </si>
  <si>
    <t>Bancos</t>
  </si>
  <si>
    <t>Títulos de Renta Variable</t>
  </si>
  <si>
    <t>Títulos de Renta Fija</t>
  </si>
  <si>
    <t>Inventario</t>
  </si>
  <si>
    <t>Documentos y Cuentas a Pagar</t>
  </si>
  <si>
    <t>Préstamos Financieros (Nota 5. k)</t>
  </si>
  <si>
    <t>Intereses a pagar</t>
  </si>
  <si>
    <t>Créditos (Nota 5. f)</t>
  </si>
  <si>
    <t xml:space="preserve">Deudores por Intermediación </t>
  </si>
  <si>
    <t xml:space="preserve">Documentos y cuentas por cobrar  </t>
  </si>
  <si>
    <t>Deudores Varios</t>
  </si>
  <si>
    <t xml:space="preserve">Provisiones (Nota 5. q) </t>
  </si>
  <si>
    <t>Impuestos a pagar</t>
  </si>
  <si>
    <t>Aportes y Retenciones a pagar</t>
  </si>
  <si>
    <t>Anticipo de clientes</t>
  </si>
  <si>
    <t xml:space="preserve">Otros Activos Corrientes </t>
  </si>
  <si>
    <t>Otros Pasivos (Nota 5. q)</t>
  </si>
  <si>
    <t xml:space="preserve">Dividendos a pagar </t>
  </si>
  <si>
    <t xml:space="preserve">Otros Pasivos Corrientes </t>
  </si>
  <si>
    <t>TOTAL ACTIVO CORRIENTE</t>
  </si>
  <si>
    <t>TOTAL PASIVO CORRIENTE</t>
  </si>
  <si>
    <t>ACTIVO NO CORRIENTE</t>
  </si>
  <si>
    <t>Menos: Previsión para Inversiones</t>
  </si>
  <si>
    <t>TOTAL PASIVO NO CORRIENTE</t>
  </si>
  <si>
    <t>(Depreciación acumulada)</t>
  </si>
  <si>
    <t>TOTAL PASIVO</t>
  </si>
  <si>
    <t xml:space="preserve">PATRIMONIO NETO </t>
  </si>
  <si>
    <t>Programas</t>
  </si>
  <si>
    <t>TOTAL ACTIVO NO CORRIENTE</t>
  </si>
  <si>
    <t>Capital Integrado</t>
  </si>
  <si>
    <t xml:space="preserve">Reservas Facultativas </t>
  </si>
  <si>
    <t>TOTAL PASIVO Y PATRIMONIO NETO</t>
  </si>
  <si>
    <r>
      <t>Disponibilidades</t>
    </r>
    <r>
      <rPr>
        <sz val="9"/>
        <color indexed="8"/>
        <rFont val="Arial"/>
        <family val="2"/>
      </rPr>
      <t xml:space="preserve"> (</t>
    </r>
    <r>
      <rPr>
        <b/>
        <sz val="9"/>
        <color indexed="8"/>
        <rFont val="Arial"/>
        <family val="2"/>
      </rPr>
      <t>Nota 5.d)</t>
    </r>
  </si>
  <si>
    <t xml:space="preserve">TOTAL ACTIVO  </t>
  </si>
  <si>
    <t>ELERCICIO ANTERIOR</t>
  </si>
  <si>
    <t>PERIODO ACTUAL</t>
  </si>
  <si>
    <t>IGUAL PERIODO DEL AÑO ANTERIOR</t>
  </si>
  <si>
    <t>INGRESOS OPERATIVOS</t>
  </si>
  <si>
    <t xml:space="preserve">. Comisiones por contratos de colocación primaria </t>
  </si>
  <si>
    <t xml:space="preserve">Comisiones por contratos de colocación primaria de acciones </t>
  </si>
  <si>
    <t>Comisiones por contratos de colocación primaria de renta fija</t>
  </si>
  <si>
    <t>. Comisiones por contratos de colocación secundaria</t>
  </si>
  <si>
    <t>Comisiones por contratos de colocación secundaria de acciones</t>
  </si>
  <si>
    <t>Comisiones por contratos de colocación secundaria de renta fija</t>
  </si>
  <si>
    <t>. Ingresos por asesoría financiera</t>
  </si>
  <si>
    <t>. Otros ingresos operativos (Nota 5. v)</t>
  </si>
  <si>
    <t>GASTOS OPERATIVOS</t>
  </si>
  <si>
    <t>Gastos por comisiones y servicios</t>
  </si>
  <si>
    <t>Aranceles por negociación Bolsa de Valores (Nota 5. w)</t>
  </si>
  <si>
    <t>Otros gastos operativos (Nota 5. w)</t>
  </si>
  <si>
    <t>RESULTADO OPERATIVO BRUTO</t>
  </si>
  <si>
    <t>GASTOS DE COMERCIALIZACION</t>
  </si>
  <si>
    <t>Publicidad</t>
  </si>
  <si>
    <t>Folletos e Impresiones</t>
  </si>
  <si>
    <t>Otros gastos de comercialización (Nota 5. w)</t>
  </si>
  <si>
    <t>GASTOS DE ADMINISTRACION</t>
  </si>
  <si>
    <t>Servicios personales</t>
  </si>
  <si>
    <t>Previsión, amortización y depreciaciones</t>
  </si>
  <si>
    <t>Mantenimientos</t>
  </si>
  <si>
    <t>Seguros</t>
  </si>
  <si>
    <t>Impuestos, tasas y contribuciones</t>
  </si>
  <si>
    <t>Otros gastos de administración (Nota 5. w)</t>
  </si>
  <si>
    <t>RESULTADO OPERATIVO NETO</t>
  </si>
  <si>
    <t>Otros Ingresos y Egresos (Nota 5. x)</t>
  </si>
  <si>
    <t>Otros Ingresos</t>
  </si>
  <si>
    <t>Otros Egresos</t>
  </si>
  <si>
    <t>RESULTADOS FINANCIEROS</t>
  </si>
  <si>
    <t>Generados por activos:</t>
  </si>
  <si>
    <t>Intereses cobrados (Nota 5. y)</t>
  </si>
  <si>
    <t>Diferencia de cambio</t>
  </si>
  <si>
    <t>Generados por pasivos:</t>
  </si>
  <si>
    <t>Intereses pagados (Nota 5. y)</t>
  </si>
  <si>
    <t>UTILIDAD O (PERDIDA)</t>
  </si>
  <si>
    <t>IMPUESTO A LA RENTA</t>
  </si>
  <si>
    <t>RESERVA LEGAL</t>
  </si>
  <si>
    <t>RESULTADO DEL EJERCICIO</t>
  </si>
  <si>
    <t>ESTADO DE FLUJO DE EFECTIVO</t>
  </si>
  <si>
    <t xml:space="preserve"> (En guaraníes)</t>
  </si>
  <si>
    <t>FLUJO DE EFECTIVO POR LAS ACTIVIDADES OPERATIVAS</t>
  </si>
  <si>
    <t>Ingresos en efectivo por comisiones y otros</t>
  </si>
  <si>
    <t>Efectivo pagado a empleados</t>
  </si>
  <si>
    <t>Efectivo generado (usado) por otras actividades</t>
  </si>
  <si>
    <t>Total de Efectivo por las actividades operativas antes de cambio en los activos de operaciones</t>
  </si>
  <si>
    <t>(Aumento) disminución en los activos de operación</t>
  </si>
  <si>
    <t>Otros activos</t>
  </si>
  <si>
    <t>Aumento (o Disminución) en pasivos operativos</t>
  </si>
  <si>
    <t>Pagos a proveedores</t>
  </si>
  <si>
    <t>Efectivo neto de actividades de operaciones antes del impuesto</t>
  </si>
  <si>
    <t>Efectivo neto de actividades de operación</t>
  </si>
  <si>
    <t>FLUJO DE EFECTIVO POR LAS ACTIVIDADES DE INVERSION</t>
  </si>
  <si>
    <t>Inversiones en otras empresas</t>
  </si>
  <si>
    <t>Inversiones temporarias</t>
  </si>
  <si>
    <t>Fondos con destino especial</t>
  </si>
  <si>
    <t>Adquisición y títulos de deudas (cartera propia)</t>
  </si>
  <si>
    <t>Dividendos percibidos</t>
  </si>
  <si>
    <t>Anticipos de clientes</t>
  </si>
  <si>
    <t>Efectivo neto por (o usado) en actividades de inversión</t>
  </si>
  <si>
    <t>FLUJO DE EFECTIVO POR LAS ACTIVIDADES DE FINANCIAMIENTO</t>
  </si>
  <si>
    <t>Aportes de capital</t>
  </si>
  <si>
    <t>Provenientes de préstamos y otras deudas</t>
  </si>
  <si>
    <t>Dividendos pagados</t>
  </si>
  <si>
    <t>Intereses pagados</t>
  </si>
  <si>
    <t>Efectivo neto en actividades de financiamiento</t>
  </si>
  <si>
    <t>Aumento (o Disminución) neto de efectivo y sus equivalentes</t>
  </si>
  <si>
    <t>Efectivo y su equivalente al comienzo del período</t>
  </si>
  <si>
    <t>Efectivo y su equivalente al cierre del período</t>
  </si>
  <si>
    <t>ESTADO DE VARIACION DEL PATRIMONIO NETO</t>
  </si>
  <si>
    <t>(En guaraníes)</t>
  </si>
  <si>
    <t>Movimientos</t>
  </si>
  <si>
    <t>CAPITAL</t>
  </si>
  <si>
    <t>RESERVAS</t>
  </si>
  <si>
    <t>RESULTADOS</t>
  </si>
  <si>
    <t>PATRIMONIO NETO</t>
  </si>
  <si>
    <t>Suscripto</t>
  </si>
  <si>
    <t>A Integrar</t>
  </si>
  <si>
    <t>Prima</t>
  </si>
  <si>
    <t>Integrado</t>
  </si>
  <si>
    <t>Legal</t>
  </si>
  <si>
    <t>Revalúo</t>
  </si>
  <si>
    <t>Aumento de Capital</t>
  </si>
  <si>
    <t>Acumulados</t>
  </si>
  <si>
    <t>Del Ejercicio</t>
  </si>
  <si>
    <t>Período</t>
  </si>
  <si>
    <t>Actual</t>
  </si>
  <si>
    <t>Período anterior</t>
  </si>
  <si>
    <t>-</t>
  </si>
  <si>
    <t>Movimientos subsecuentes</t>
  </si>
  <si>
    <t>Reserva Legal</t>
  </si>
  <si>
    <t>NOTAS A LOS ESTADOS CONTABLES</t>
  </si>
  <si>
    <t xml:space="preserve">1) </t>
  </si>
  <si>
    <t xml:space="preserve">2) </t>
  </si>
  <si>
    <t>2.1. Naturaleza jurídica de las actividades de la sociedad.</t>
  </si>
  <si>
    <t>La duración de la Sociedad queda fijada en (99) noventa y nueve años, contados a partir de la fecha de inscripción de la misma en el Registro Público de Comercio.</t>
  </si>
  <si>
    <t xml:space="preserve">La Sociedad tiene por objeto principal la intermediación en el Mercado de Valores, en forma habitual, y por cuenta ajena. Mediante la realización de operaciones de compra –venta, colocación, corretaje, comisión o negociación de títulos –valores emitidos por terceros, respecto de los cuales se hagan oferta pública, y podrá realizar en general, todas aquellas actividades complementarias, conexas o afines con la intermediación de valores y debidamente inscriptos en el Registro de Intermediarios. </t>
  </si>
  <si>
    <t>2.2. Participación en otras empresas.</t>
  </si>
  <si>
    <t>3)</t>
  </si>
  <si>
    <t>El criterio adoptado para las depreciaciones es el método lineal de acuerdo a los años de vida útil del bien.</t>
  </si>
  <si>
    <t>3.5.             Estado de Flujo de Efectivo: La clasificación de flujo de efectivo se ha realizado de acuerdo a las actividades operativas, de inversión y de financiamiento, y reflejan los ingresos y egresos de las principales actividades operativas, actividades de adquisición y enajenación de activos a largo plazo (actividades de inversión) y actividades que dan por resultado cambios en el tamaño y composición el capital contable y los préstamos de la empresa (actividad de financiamiento).</t>
  </si>
  <si>
    <t>3.6.             Normas aplicadas para la consolidación de Estados Contables: No Aplicable.</t>
  </si>
  <si>
    <t>4)</t>
  </si>
  <si>
    <t>a)  Valuación en moneda extranjera</t>
  </si>
  <si>
    <t>A continuación, se detalla el tipo de cambio utilizado para convertir a moneda nacional los saldos en moneda extranjera.</t>
  </si>
  <si>
    <t xml:space="preserve">Período actual </t>
  </si>
  <si>
    <t>en Gs.</t>
  </si>
  <si>
    <t xml:space="preserve">Período  </t>
  </si>
  <si>
    <t xml:space="preserve"> anterior en Gs.</t>
  </si>
  <si>
    <t>Tipo de cambio comprador</t>
  </si>
  <si>
    <t xml:space="preserve">Tipo de cambio vendedor       </t>
  </si>
  <si>
    <t>b) Posición en moneda extranjera</t>
  </si>
  <si>
    <t>ACTIVOS Y PASIVOS EN MONEDA EXTRANJERA</t>
  </si>
  <si>
    <t>DETALLE</t>
  </si>
  <si>
    <t>MONEDA EXTRANJERA – CLASE</t>
  </si>
  <si>
    <t>MONEDA EXTRANJERA – MONTO</t>
  </si>
  <si>
    <t>CAMBIO CIERRE – PERIODO ACTUAL</t>
  </si>
  <si>
    <t>SALDO – PERIODO ACTUAL (GUARANIES)</t>
  </si>
  <si>
    <t>CAMBIO CIERRE – PERIODO ANTERIOR</t>
  </si>
  <si>
    <t>ACTIVO</t>
  </si>
  <si>
    <t>ACTIVOS CORRIENTES</t>
  </si>
  <si>
    <t>c) Diferencia de cambio en moneda extranjera</t>
  </si>
  <si>
    <t>CONCEPTO</t>
  </si>
  <si>
    <t>TIPO DE CAMBIO PERIODO ACTUAL</t>
  </si>
  <si>
    <t>MONTO AJUSTADO PERIODO ACTUAL G.</t>
  </si>
  <si>
    <t>TIPO DE CAMBIO  PERIODO ANTERIOR</t>
  </si>
  <si>
    <t>MONTO AJUSTADO  PERIODO ANTERIOR G.</t>
  </si>
  <si>
    <t xml:space="preserve">d) Disponibilidades </t>
  </si>
  <si>
    <t>La composición de este rubro está compuesta por:</t>
  </si>
  <si>
    <t xml:space="preserve">Concepto </t>
  </si>
  <si>
    <t>Período Actual Gs.</t>
  </si>
  <si>
    <t xml:space="preserve"> Período Anterior Gs.</t>
  </si>
  <si>
    <t>Fondo Fijo</t>
  </si>
  <si>
    <t xml:space="preserve"> Totales </t>
  </si>
  <si>
    <t xml:space="preserve">e) Inversiones Permanentes </t>
  </si>
  <si>
    <t>Este rubro está compuesto por las siguientes cuentas:</t>
  </si>
  <si>
    <t>INFORMACIÓN SOBRE EL DOCUMENTO Y EMISOR</t>
  </si>
  <si>
    <t>INFORMACIÓN SOBRE EL EMISOR</t>
  </si>
  <si>
    <t>TIPO</t>
  </si>
  <si>
    <t>CANTIDAD DE TITULOS</t>
  </si>
  <si>
    <t>VALOR NOMINAL UNITARIO</t>
  </si>
  <si>
    <t>VALOR</t>
  </si>
  <si>
    <t>RESULTADO</t>
  </si>
  <si>
    <t>PATRIM.</t>
  </si>
  <si>
    <t>EMISOR</t>
  </si>
  <si>
    <t>DE TITULO</t>
  </si>
  <si>
    <t>CONTABLE</t>
  </si>
  <si>
    <t>NETO</t>
  </si>
  <si>
    <t>Inversiones Permanentes</t>
  </si>
  <si>
    <t>TOTALES PERÍODO ACTUAL G.</t>
  </si>
  <si>
    <t>TOTALES PERíODO ANTERIOR G.</t>
  </si>
  <si>
    <t xml:space="preserve">Acciones BVPASA </t>
  </si>
  <si>
    <t>Valor Nominal</t>
  </si>
  <si>
    <t>Valor Libro de la acción</t>
  </si>
  <si>
    <t>Valor último remate</t>
  </si>
  <si>
    <t>Saldo período actual en Gs.</t>
  </si>
  <si>
    <t>Saldo período anterior en Gs.</t>
  </si>
  <si>
    <t xml:space="preserve">f) Créditos  </t>
  </si>
  <si>
    <t>Período Anterior Gs.</t>
  </si>
  <si>
    <t>Totales</t>
  </si>
  <si>
    <t>g) Bienes de Uso</t>
  </si>
  <si>
    <t>CUENTAS</t>
  </si>
  <si>
    <t>VALORES DE ORIGEN</t>
  </si>
  <si>
    <t>DEPRECIACIONES</t>
  </si>
  <si>
    <t>Valores al  inicio del  ejercicio</t>
  </si>
  <si>
    <t>Altas</t>
  </si>
  <si>
    <t>Bajas</t>
  </si>
  <si>
    <t>Revalúo del período</t>
  </si>
  <si>
    <t>Valores al cierre del período</t>
  </si>
  <si>
    <t>Acumuladas al inicio del ejercicio</t>
  </si>
  <si>
    <t>Deprecia- ción del período</t>
  </si>
  <si>
    <t>Acumuladas al cierre</t>
  </si>
  <si>
    <t>Neto resultante</t>
  </si>
  <si>
    <t>Muebles y útiles</t>
  </si>
  <si>
    <t>Totales período actual</t>
  </si>
  <si>
    <t>Totales  período anterior</t>
  </si>
  <si>
    <t>h) Cargos Diferidos</t>
  </si>
  <si>
    <t>No Aplicable</t>
  </si>
  <si>
    <t>i) Activos Intangibles</t>
  </si>
  <si>
    <t>SALDO</t>
  </si>
  <si>
    <t>INICIAL</t>
  </si>
  <si>
    <t>AUMENTOS</t>
  </si>
  <si>
    <t>AMORTIZACIONES</t>
  </si>
  <si>
    <t>NETO FINAL</t>
  </si>
  <si>
    <t>Total actual</t>
  </si>
  <si>
    <t>Total período anterior</t>
  </si>
  <si>
    <t>j) Otros Activos</t>
  </si>
  <si>
    <t xml:space="preserve">k) Préstamos Financieros (Pasivo Corriente) </t>
  </si>
  <si>
    <t xml:space="preserve">PRESTAMOS </t>
  </si>
  <si>
    <t>Período Actual en Gs.</t>
  </si>
  <si>
    <t>Período anterior en Gs.</t>
  </si>
  <si>
    <t>INTERESES A PAGAR</t>
  </si>
  <si>
    <t>SOBREGIRO BANCARIO</t>
  </si>
  <si>
    <t xml:space="preserve">l) Documentos y Cuentas por pagar (Pasivo Corriente) </t>
  </si>
  <si>
    <t>Período anterior Gs.</t>
  </si>
  <si>
    <t>BVPASA - ( Aranceles )</t>
  </si>
  <si>
    <t>n) Administración de Cartera (corto y largo plazo)</t>
  </si>
  <si>
    <t>p) Obligaciones por contrato de Underwriting (corto y largo plazo)</t>
  </si>
  <si>
    <t>q) Otros Pasivos (Pasivo Corriente)</t>
  </si>
  <si>
    <t>Concepto</t>
  </si>
  <si>
    <t>Provisiones (Pasivo Corriente)</t>
  </si>
  <si>
    <t>r) Saldos y transacciones con personas y empresas relacionadas (Corriente y No Corriente)</t>
  </si>
  <si>
    <t>s) Resultado con personas y empresas vinculadas</t>
  </si>
  <si>
    <t>t) Patrimonio</t>
  </si>
  <si>
    <t>SALDO AL INICIO DEL PERIODO ANTERIOR G.</t>
  </si>
  <si>
    <t>DISMINUCIÓN</t>
  </si>
  <si>
    <t>SALDO AL CIERRE DEL PERIODO G.</t>
  </si>
  <si>
    <t>Prima por Emisión</t>
  </si>
  <si>
    <t>Reservas</t>
  </si>
  <si>
    <t>Resultados Acumulados</t>
  </si>
  <si>
    <t>Resultados del Ejercicio</t>
  </si>
  <si>
    <t>TOTAL</t>
  </si>
  <si>
    <t>u) Previsiones</t>
  </si>
  <si>
    <t xml:space="preserve">v) Ingresos Operativos </t>
  </si>
  <si>
    <t>Ingresos por operaciones y servicios a personas relacionadas</t>
  </si>
  <si>
    <t xml:space="preserve">Otros Ingresos Operativos </t>
  </si>
  <si>
    <t>Período Actual</t>
  </si>
  <si>
    <t xml:space="preserve"> en Gs.</t>
  </si>
  <si>
    <t xml:space="preserve">Igual Período de año </t>
  </si>
  <si>
    <t>anterior en Gs.</t>
  </si>
  <si>
    <t>Venta de Acciones</t>
  </si>
  <si>
    <t>Venta de Bonos</t>
  </si>
  <si>
    <t>Otros ingresos</t>
  </si>
  <si>
    <t>w) Otros gastos operativos, de comercialización y de administración</t>
  </si>
  <si>
    <t>Aranceles por Negociación Bolsa de Valores</t>
  </si>
  <si>
    <t xml:space="preserve">Período Actual </t>
  </si>
  <si>
    <t xml:space="preserve">      anterior en Gs.</t>
  </si>
  <si>
    <t>Aranceles por negociación en Bolsa</t>
  </si>
  <si>
    <t xml:space="preserve">Gastos Administrativos - BVPASA </t>
  </si>
  <si>
    <t>Aranceles – CNV y SEPRELAD</t>
  </si>
  <si>
    <t xml:space="preserve"> Igual Período de año  </t>
  </si>
  <si>
    <t>Otros Gastos de Comercialización</t>
  </si>
  <si>
    <t>Gastos de movilidad</t>
  </si>
  <si>
    <t xml:space="preserve">Otros Gastos de Administración </t>
  </si>
  <si>
    <t>Aporte patronal</t>
  </si>
  <si>
    <t>Aguinaldos pagados</t>
  </si>
  <si>
    <t>Vacaciones pagadas</t>
  </si>
  <si>
    <t>Indemnizaciones</t>
  </si>
  <si>
    <t>Remuneración personal superior</t>
  </si>
  <si>
    <t>Honorarios profesionales</t>
  </si>
  <si>
    <t>Gratificaciones</t>
  </si>
  <si>
    <t>Alquileres</t>
  </si>
  <si>
    <t>Útiles de oficina</t>
  </si>
  <si>
    <t>Comisiones y gastos bancarios operacionales</t>
  </si>
  <si>
    <t>Multas y recargos</t>
  </si>
  <si>
    <t>Gastos de consumición y limpieza</t>
  </si>
  <si>
    <t>Seguridad y vigilancia</t>
  </si>
  <si>
    <t xml:space="preserve">Gastos no deducibles                     </t>
  </si>
  <si>
    <t>Viáticos</t>
  </si>
  <si>
    <t>Otros gastos de administración</t>
  </si>
  <si>
    <t>Comisiones y gastos bancarios sobre operaciones crediticias</t>
  </si>
  <si>
    <t>x) Otros Ingresos y Egresos</t>
  </si>
  <si>
    <t>Igual Período de año anterior en Gs.</t>
  </si>
  <si>
    <t>Totales:</t>
  </si>
  <si>
    <t>y) Resultados Financieros</t>
  </si>
  <si>
    <t xml:space="preserve">z) Resultados Extraordinarios </t>
  </si>
  <si>
    <t>6)</t>
  </si>
  <si>
    <t>Información referente a contingencias y compromisos.</t>
  </si>
  <si>
    <t>a) Compromisos directos</t>
  </si>
  <si>
    <t>b) Contingencias Legales</t>
  </si>
  <si>
    <t>Detalle de la Póliza</t>
  </si>
  <si>
    <t>Hechos posteriores al cierre del ejercicio.</t>
  </si>
  <si>
    <t xml:space="preserve">8) </t>
  </si>
  <si>
    <t>Limitación a la libre disponibilidad de los activos o del patrimonio y cualquier restricción al derecho de propiedad.</t>
  </si>
  <si>
    <t>Cambios Contables.</t>
  </si>
  <si>
    <t>10)</t>
  </si>
  <si>
    <t>Restricciones para distribución de utilidades.</t>
  </si>
  <si>
    <t>11)</t>
  </si>
  <si>
    <t>Sanciones.</t>
  </si>
  <si>
    <t>TOTAL PATRIMONIO NETO</t>
  </si>
  <si>
    <t>Saldo al inicio del ejercicio</t>
  </si>
  <si>
    <t>Resultado del Ejercicio</t>
  </si>
  <si>
    <t>SALDO – PERIODO ANTERIOR  (GUARANIES)</t>
  </si>
  <si>
    <t>MONEDA EXTRANJERA - MONTO</t>
  </si>
  <si>
    <t>Acreedores Varios (Nota 5. l)</t>
  </si>
  <si>
    <t>Fondo de garantía - BVPASA</t>
  </si>
  <si>
    <t>Retenciones IDU</t>
  </si>
  <si>
    <t>Obligac. por Administración de Cartera (5.n)</t>
  </si>
  <si>
    <t>Capacitación al Personal</t>
  </si>
  <si>
    <t>Gtos. De Representación</t>
  </si>
  <si>
    <r>
      <t>Acreedores por Intermediación</t>
    </r>
    <r>
      <rPr>
        <b/>
        <sz val="9"/>
        <rFont val="Arial"/>
        <family val="2"/>
      </rPr>
      <t xml:space="preserve"> (</t>
    </r>
    <r>
      <rPr>
        <sz val="9"/>
        <rFont val="Arial"/>
        <family val="2"/>
      </rPr>
      <t>Nota 5.m)</t>
    </r>
  </si>
  <si>
    <t>Cuentas de Orden Deudoras</t>
  </si>
  <si>
    <t>Cuentas de Orden Acreedoras</t>
  </si>
  <si>
    <t>Total período Actual</t>
  </si>
  <si>
    <t>Total período Anterior</t>
  </si>
  <si>
    <t>Equipos</t>
  </si>
  <si>
    <t>Rodados</t>
  </si>
  <si>
    <t>Compra de propiedades, planta y equipo</t>
  </si>
  <si>
    <t>R. ACCIONES</t>
  </si>
  <si>
    <r>
      <t>Impuestos</t>
    </r>
    <r>
      <rPr>
        <b/>
        <sz val="10"/>
        <color indexed="8"/>
        <rFont val="Calibri"/>
        <family val="2"/>
      </rPr>
      <t xml:space="preserve"> </t>
    </r>
  </si>
  <si>
    <t>No Posee sanciones con la Comision Nacional de Valores u otras entidades fiscalizadoras.</t>
  </si>
  <si>
    <t>La firma cuenta  con la libre disposicion  de su patrimonio.</t>
  </si>
  <si>
    <t>No existen hechos posteriores al cierre del ejercicio que impliquen alteraciones significativas a la estructura patrimonial y resultado del ejercicio.</t>
  </si>
  <si>
    <r>
      <t xml:space="preserve">Diferencia de cambio </t>
    </r>
    <r>
      <rPr>
        <sz val="10"/>
        <color indexed="8"/>
        <rFont val="Calibri"/>
        <family val="2"/>
      </rPr>
      <t>(7)</t>
    </r>
  </si>
  <si>
    <t>PERIODO    ANTERIOR</t>
  </si>
  <si>
    <t>Anticipo Impuesto a la Renta</t>
  </si>
  <si>
    <t>Retenciones de IVA</t>
  </si>
  <si>
    <t>IVA Credito Fiscal - 10%</t>
  </si>
  <si>
    <t>Reserva de Revaluo Fiscal</t>
  </si>
  <si>
    <t xml:space="preserve">Resultado del Ejercicio </t>
  </si>
  <si>
    <t xml:space="preserve">7) </t>
  </si>
  <si>
    <t>9)</t>
  </si>
  <si>
    <t>Venta de CDA</t>
  </si>
  <si>
    <t xml:space="preserve">Ingresos por Operaciones y servicios extrabursatiles </t>
  </si>
  <si>
    <t>Ingresos por Servicios de Rep. De Tenedores</t>
  </si>
  <si>
    <t>Agua, Luz y Telefono</t>
  </si>
  <si>
    <t>Intereses Pagados</t>
  </si>
  <si>
    <t>facultativa</t>
  </si>
  <si>
    <t>USD</t>
  </si>
  <si>
    <t>BOLSA DE VALORES Y PRODUCTOS DE ASUNCION S.A.</t>
  </si>
  <si>
    <t>ACCION</t>
  </si>
  <si>
    <t xml:space="preserve">  CONCEPTO</t>
  </si>
  <si>
    <t xml:space="preserve"> CONCEPTO</t>
  </si>
  <si>
    <t>Capital Social</t>
  </si>
  <si>
    <t>Capital Emitido</t>
  </si>
  <si>
    <t>N°</t>
  </si>
  <si>
    <t>ACCIONISTA</t>
  </si>
  <si>
    <t xml:space="preserve">SERIE </t>
  </si>
  <si>
    <t>CLASE</t>
  </si>
  <si>
    <t>VOTO</t>
  </si>
  <si>
    <t xml:space="preserve">CANTIDAD ACCIONES </t>
  </si>
  <si>
    <t xml:space="preserve">MONTO </t>
  </si>
  <si>
    <t>% PARTIC.CAPITAL INTEGRADO</t>
  </si>
  <si>
    <t>Ordinaria</t>
  </si>
  <si>
    <t xml:space="preserve"> </t>
  </si>
  <si>
    <t>Capital Suscripto e Integrado</t>
  </si>
  <si>
    <t>Anticipo a Proveedores</t>
  </si>
  <si>
    <t xml:space="preserve">Reservas  </t>
  </si>
  <si>
    <t>Aporte p/ futuras Capitalizaciones</t>
  </si>
  <si>
    <t>Sindico</t>
  </si>
  <si>
    <t>Nombre</t>
  </si>
  <si>
    <t>Cargo</t>
  </si>
  <si>
    <t>PASIVOS CORRIENTES</t>
  </si>
  <si>
    <t>Seguros a Devengar</t>
  </si>
  <si>
    <t>Intereses Financieros</t>
  </si>
  <si>
    <t>Intereses Bursatiles Titulos/Bonos</t>
  </si>
  <si>
    <t>Las 11 notas y sus anexos aclaratorios que se acompañan son parte integrante de estos estados financieros.</t>
  </si>
  <si>
    <t>s/ Movimiento</t>
  </si>
  <si>
    <r>
      <t>b-</t>
    </r>
    <r>
      <rPr>
        <b/>
        <sz val="7"/>
        <rFont val="Times New Roman"/>
        <family val="1"/>
      </rPr>
      <t xml:space="preserve">      </t>
    </r>
    <r>
      <rPr>
        <b/>
        <sz val="11"/>
        <rFont val="Calibri"/>
        <family val="2"/>
      </rPr>
      <t>Otros Egresos:</t>
    </r>
  </si>
  <si>
    <t>No posee</t>
  </si>
  <si>
    <t>1.            IDENTIFICACIÓN</t>
  </si>
  <si>
    <t>Razón Social:</t>
  </si>
  <si>
    <t>Registro CNV:</t>
  </si>
  <si>
    <t>Código Bolsa:</t>
  </si>
  <si>
    <t>Dirección Oficina Principal:</t>
  </si>
  <si>
    <t>Teléfono:</t>
  </si>
  <si>
    <t>E-mail:</t>
  </si>
  <si>
    <t>Sitio Página Web:</t>
  </si>
  <si>
    <t>Domicilio Legal:</t>
  </si>
  <si>
    <t>RUC N°</t>
  </si>
  <si>
    <t xml:space="preserve">2.            ANTECEDENTES DE CONSTITUCIÓN </t>
  </si>
  <si>
    <t xml:space="preserve">3.            ADMINISTRACION </t>
  </si>
  <si>
    <t>Representantes Legales</t>
  </si>
  <si>
    <t>Presidente</t>
  </si>
  <si>
    <t>Vice-presidente</t>
  </si>
  <si>
    <t>Plana Ejecutiva</t>
  </si>
  <si>
    <t>Auditoría Interna</t>
  </si>
  <si>
    <t>Contador</t>
  </si>
  <si>
    <t>Dora Busto de Arzamendia</t>
  </si>
  <si>
    <t xml:space="preserve">4.            CAPITAL Y PROPIEDAD </t>
  </si>
  <si>
    <r>
      <t xml:space="preserve">c) Garantías constituidas: </t>
    </r>
    <r>
      <rPr>
        <sz val="10"/>
        <color indexed="8"/>
        <rFont val="Arial Nova"/>
        <family val="2"/>
      </rPr>
      <t>Póliza de Caución / Garantía de Desempeño Profesional</t>
    </r>
  </si>
  <si>
    <t>a-      Otros Ingresos:</t>
  </si>
  <si>
    <r>
      <t>a-</t>
    </r>
    <r>
      <rPr>
        <b/>
        <sz val="10"/>
        <color indexed="8"/>
        <rFont val="Arial Nova"/>
        <family val="2"/>
      </rPr>
      <t>      Intereses cobrados:</t>
    </r>
  </si>
  <si>
    <r>
      <t>b-</t>
    </r>
    <r>
      <rPr>
        <b/>
        <sz val="10"/>
        <color indexed="8"/>
        <rFont val="Arial Nova"/>
        <family val="2"/>
      </rPr>
      <t>      Intereses pagados:</t>
    </r>
  </si>
  <si>
    <r>
      <t xml:space="preserve">o) </t>
    </r>
    <r>
      <rPr>
        <b/>
        <sz val="10"/>
        <color indexed="8"/>
        <rFont val="Arial Nova"/>
        <family val="2"/>
      </rPr>
      <t>Cuentas a pagar a personas y empresas relacionadas (corto y largo plazo)</t>
    </r>
  </si>
  <si>
    <r>
      <t>-</t>
    </r>
    <r>
      <rPr>
        <sz val="10"/>
        <color indexed="8"/>
        <rFont val="Arial Nova"/>
        <family val="2"/>
      </rPr>
      <t xml:space="preserve">           </t>
    </r>
    <r>
      <rPr>
        <i/>
        <sz val="10"/>
        <color indexed="8"/>
        <rFont val="Arial Nova"/>
        <family val="2"/>
      </rPr>
      <t>Cliente Nro.1049</t>
    </r>
  </si>
  <si>
    <r>
      <t>-</t>
    </r>
    <r>
      <rPr>
        <sz val="10"/>
        <color indexed="8"/>
        <rFont val="Arial Nova"/>
        <family val="2"/>
      </rPr>
      <t xml:space="preserve">           </t>
    </r>
    <r>
      <rPr>
        <i/>
        <sz val="10"/>
        <color indexed="8"/>
        <rFont val="Arial Nova"/>
        <family val="2"/>
      </rPr>
      <t>Cliente Nro.1771</t>
    </r>
  </si>
  <si>
    <r>
      <t>-</t>
    </r>
    <r>
      <rPr>
        <sz val="10"/>
        <color indexed="8"/>
        <rFont val="Arial Nova"/>
        <family val="2"/>
      </rPr>
      <t xml:space="preserve">           </t>
    </r>
    <r>
      <rPr>
        <i/>
        <sz val="10"/>
        <color indexed="8"/>
        <rFont val="Arial Nova"/>
        <family val="2"/>
      </rPr>
      <t>Cliente Nro.9753</t>
    </r>
  </si>
  <si>
    <r>
      <t>a-</t>
    </r>
    <r>
      <rPr>
        <b/>
        <sz val="10"/>
        <color indexed="8"/>
        <rFont val="Arial Nova"/>
        <family val="2"/>
      </rPr>
      <t>      Otros Activos Corrientes</t>
    </r>
  </si>
  <si>
    <r>
      <t>a-</t>
    </r>
    <r>
      <rPr>
        <b/>
        <sz val="10"/>
        <color indexed="8"/>
        <rFont val="Arial Nova"/>
        <family val="2"/>
      </rPr>
      <t>      Préstamos:</t>
    </r>
  </si>
  <si>
    <t>b-      Intereses a pagar:</t>
  </si>
  <si>
    <r>
      <t>c-</t>
    </r>
    <r>
      <rPr>
        <b/>
        <sz val="10"/>
        <color indexed="8"/>
        <rFont val="Arial Nova"/>
        <family val="2"/>
      </rPr>
      <t>      Sobregiros bancarios:</t>
    </r>
  </si>
  <si>
    <r>
      <t>d-</t>
    </r>
    <r>
      <rPr>
        <b/>
        <sz val="10"/>
        <color indexed="8"/>
        <rFont val="Arial Nova"/>
        <family val="2"/>
      </rPr>
      <t>      Préstamos Porcion no corriente:</t>
    </r>
  </si>
  <si>
    <r>
      <t>m) Acreedores por Intermediación</t>
    </r>
    <r>
      <rPr>
        <sz val="10"/>
        <color theme="1"/>
        <rFont val="Arial Nova"/>
        <family val="2"/>
      </rPr>
      <t>:</t>
    </r>
  </si>
  <si>
    <r>
      <t>a-</t>
    </r>
    <r>
      <rPr>
        <b/>
        <sz val="10"/>
        <color indexed="8"/>
        <rFont val="Arial Nova"/>
        <family val="2"/>
      </rPr>
      <t>      Documentos y cuentas por cobrar</t>
    </r>
    <r>
      <rPr>
        <sz val="10"/>
        <color indexed="8"/>
        <rFont val="Arial Nova"/>
        <family val="2"/>
      </rPr>
      <t xml:space="preserve">: </t>
    </r>
  </si>
  <si>
    <r>
      <t>b-</t>
    </r>
    <r>
      <rPr>
        <b/>
        <sz val="10"/>
        <color indexed="8"/>
        <rFont val="Arial Nova"/>
        <family val="2"/>
      </rPr>
      <t>      Deudores Varios</t>
    </r>
    <r>
      <rPr>
        <sz val="10"/>
        <color indexed="8"/>
        <rFont val="Arial Nova"/>
        <family val="2"/>
      </rPr>
      <t xml:space="preserve">: </t>
    </r>
  </si>
  <si>
    <t>Criterios específicos de valuación.</t>
  </si>
  <si>
    <t>CUADRO DE  CAPITAL SUSCRIPTO E INTEGRADO</t>
  </si>
  <si>
    <t>Auditor Interno</t>
  </si>
  <si>
    <t>CANTIDAD VOTOS</t>
  </si>
  <si>
    <t xml:space="preserve">5.            CAPITAL Y PROPIEDAD </t>
  </si>
  <si>
    <t>AUDITOR EXTERNO INDEPENDIENTE</t>
  </si>
  <si>
    <t>Nombre:</t>
  </si>
  <si>
    <t>Dirección:</t>
  </si>
  <si>
    <t>RUC:</t>
  </si>
  <si>
    <t xml:space="preserve">6.            CAPITAL Y PROPIEDAD </t>
  </si>
  <si>
    <t>PERSONAS Y EMPRESAS VINCULADAS</t>
  </si>
  <si>
    <t xml:space="preserve">Director  </t>
  </si>
  <si>
    <r>
      <t xml:space="preserve">             5)</t>
    </r>
    <r>
      <rPr>
        <b/>
        <sz val="7"/>
        <color indexed="8"/>
        <rFont val="Times New Roman"/>
        <family val="1"/>
      </rPr>
      <t>              </t>
    </r>
  </si>
  <si>
    <r>
      <rPr>
        <b/>
        <sz val="16"/>
        <color theme="4"/>
        <rFont val="Arial Nova"/>
        <family val="2"/>
      </rPr>
      <t>ESTADOS FINANCIEROS
 CAPITAL MARKETS Casa de Bolsa S.A.</t>
    </r>
    <r>
      <rPr>
        <u/>
        <sz val="14"/>
        <color theme="4"/>
        <rFont val="Arial Nova"/>
        <family val="2"/>
      </rPr>
      <t xml:space="preserve"> </t>
    </r>
    <r>
      <rPr>
        <sz val="11"/>
        <color theme="4"/>
        <rFont val="Arial Nova"/>
        <family val="2"/>
      </rPr>
      <t xml:space="preserve">
</t>
    </r>
  </si>
  <si>
    <t>Compañía de Seguro :</t>
  </si>
  <si>
    <t>Aseguradora Paraguaya S.A.E.C.A.</t>
  </si>
  <si>
    <t>Número de Póliza :</t>
  </si>
  <si>
    <t>Asegurado :</t>
  </si>
  <si>
    <t>Bolsa de Valores y Productos de Asunción S.A.</t>
  </si>
  <si>
    <t>Tomador:</t>
  </si>
  <si>
    <t>Capital Markets Casa de Bolsa S.A.</t>
  </si>
  <si>
    <t>Fecha de emisión :</t>
  </si>
  <si>
    <t>Vigencia desde :</t>
  </si>
  <si>
    <t>Vigencia hasta :</t>
  </si>
  <si>
    <t>Plazo en días :</t>
  </si>
  <si>
    <t>Capital máximo asegurado :</t>
  </si>
  <si>
    <t>Con referencia a la contabilizacion de ventas de ttitutlos / Valores Financieros, se refleja actualmente solo los montos netos de ganancia/perdida</t>
  </si>
  <si>
    <r>
      <t>Consideración de los Estados Contables</t>
    </r>
    <r>
      <rPr>
        <b/>
        <sz val="11"/>
        <color theme="1"/>
        <rFont val="Calibri"/>
        <family val="2"/>
      </rPr>
      <t xml:space="preserve">. </t>
    </r>
  </si>
  <si>
    <r>
      <t>Información básica de la empresa</t>
    </r>
    <r>
      <rPr>
        <b/>
        <sz val="11"/>
        <color theme="1"/>
        <rFont val="Calibri"/>
        <family val="2"/>
      </rPr>
      <t>.</t>
    </r>
  </si>
  <si>
    <r>
      <t>Capital Markets Casa de Bolsa S.A</t>
    </r>
    <r>
      <rPr>
        <sz val="11"/>
        <color theme="1"/>
        <rFont val="Calibri"/>
        <family val="2"/>
      </rPr>
      <t xml:space="preserve">. Se rige por las disposiciones legales contenidas en la Ley Nº 5810 de Mercados de Capitales y todas las demás disposiciones legales y reglamentarias del país. </t>
    </r>
  </si>
  <si>
    <t>Inicialmente la Sociedad se constituyó bajo la denominación Bolpar S.A. Casa de Bolsa creada el 26 de noviembre de 1990 por Escritura Pública Nº 96 pasada ante el Escribano Público Juan José Benítez Rickman, aprobado el estatuto por Decreto del Poder Ejecutivo Nº 9874 de fecha 13 de junio de 1991 e inscripta en el Registro Público de Comercio bajo en Nº 344, folio 1898 y siguientes en fecha 22 de julio de 1991. Fue dispuesta su inscripción en el Registro de Casas de Bolsa el 9 de noviembre de 1992, prevista en el artículo Nº 85, inciso 4 de la Ley Nº 94/91.</t>
  </si>
  <si>
    <t xml:space="preserve">No aplicable. </t>
  </si>
  <si>
    <r>
      <t>Principales políticas y prácticas contables aplicadas</t>
    </r>
    <r>
      <rPr>
        <b/>
        <sz val="11"/>
        <color theme="1"/>
        <rFont val="Calibri"/>
        <family val="2"/>
      </rPr>
      <t>.</t>
    </r>
  </si>
  <si>
    <t xml:space="preserve">3.2            El criterio de valuación utilizado para los diferentes bienes del Activo de la Firma ha sido el costo histórico sin tener en cuenta el efecto de las variaciones en el poder adquisitivo de la moneda local, que pudieran tener sobre los activos no monetarios que la componen, ya que el ajuste por inflación no es práctica contable aceptada en el Paraguay, excepto por el ajuste realizado hasta el Ejercicio 1998 sobre el valor de las acciones de la Bolsa de Valores según Resolución Nº 75/94 de la Comisión Nacional de Valores y los bienes de uso, que se actualizan de acuerdo a lo indicado en los puntos 2.b, 2c siguientes. Los Estados Contables no reconocen en forma integral los efectos de la inflación sobre los valores tomados en conjunto. </t>
  </si>
  <si>
    <r>
      <t>3.3.</t>
    </r>
    <r>
      <rPr>
        <sz val="7"/>
        <color theme="1"/>
        <rFont val="Times New Roman"/>
        <family val="1"/>
      </rPr>
      <t xml:space="preserve">             </t>
    </r>
    <r>
      <rPr>
        <sz val="11"/>
        <color theme="1"/>
        <rFont val="Calibri"/>
        <family val="2"/>
      </rPr>
      <t>Política de constitución de previsiones: Hasta el momento no se han establecido criterios para el tratamiento de las cuentas incobrables.</t>
    </r>
  </si>
  <si>
    <r>
      <t>3.4.</t>
    </r>
    <r>
      <rPr>
        <sz val="7"/>
        <color theme="1"/>
        <rFont val="Times New Roman"/>
        <family val="1"/>
      </rPr>
      <t xml:space="preserve">             </t>
    </r>
    <r>
      <rPr>
        <sz val="11"/>
        <color theme="1"/>
        <rFont val="Calibri"/>
        <family val="2"/>
      </rPr>
      <t>Política de reconocimiento de ingresos: Se ha utilizado para este efecto el criterio de devengado, lo mismo para los egresos.</t>
    </r>
  </si>
  <si>
    <r>
      <t>Cambio de Políticas y Procedimientos de Contabilidad</t>
    </r>
    <r>
      <rPr>
        <b/>
        <sz val="11"/>
        <color theme="1"/>
        <rFont val="Calibri"/>
        <family val="2"/>
      </rPr>
      <t>.</t>
    </r>
  </si>
  <si>
    <t>80009706-8</t>
  </si>
  <si>
    <t>Tte. Nuñez 295 entre El Dorado y Tte. Ricardo Cocco</t>
  </si>
  <si>
    <t>021-201.255</t>
  </si>
  <si>
    <t>info@capitalmarkets.com.py</t>
  </si>
  <si>
    <t xml:space="preserve"> www.capitalmarkets.com.py</t>
  </si>
  <si>
    <t xml:space="preserve">Daniel Andrés Moreno Bogarín </t>
  </si>
  <si>
    <t>Rodney Russell Banks Magnani</t>
  </si>
  <si>
    <t>Rómulo Chang Ming Yuan</t>
  </si>
  <si>
    <t>Director Titular</t>
  </si>
  <si>
    <t>Director Suplente</t>
  </si>
  <si>
    <t>Matias Andrés Moreno Pérez</t>
  </si>
  <si>
    <t>José David Rolón Bogado</t>
  </si>
  <si>
    <t>Javier Eduardo Benitez Pereira</t>
  </si>
  <si>
    <t>Sindico Suplente</t>
  </si>
  <si>
    <t>Juan Manuel Romero</t>
  </si>
  <si>
    <t xml:space="preserve">MODIFICACIÓN DE ESTATUTO SOCIAL. Por Escritura Publica N. 57 (cincuenta y siete) del 16-10-2006 ante el Esc. Ana Maria Zubizarreta, titular del Reg. 896, se trascribió Acta de Asamblea Extraordinaria de BOLPAR CASA DE BOLSA S.A. de fecha 29-04-2006: Cambio de Denominación Social a  CAPITAL MARKETS CASA DE BOLSA SOCIEDAD ANONIMA, Inscripta en la Dirección Gral. de los Reg. Públicos. Dir. de Pers. Jur. y Asoc., matricula Jurídica N. 1986, serie Comercial, bajo el N 79, Folio 773 en fecha 15/02/2007, y la Dirección General de los Registros Públicos, Sección Comercial, matricula comercial N. 1986, bajo el Nº 209, folio 2174, en fecha 16/03/2007.    Posteriormente por Escritura Publica N° 90 (noventa) del 16-07-2020, ante el Esc. Luis Alfredo Robles titular del Reg. 721se transcribio el Acta Extraordinaria de Asamblea N° 04 con el objetivo del aumento de capital social </t>
  </si>
  <si>
    <t>G.3.332.300.000</t>
  </si>
  <si>
    <t>Numero del titulo</t>
  </si>
  <si>
    <t>Del</t>
  </si>
  <si>
    <t>Al</t>
  </si>
  <si>
    <t>Alberto Acosta</t>
  </si>
  <si>
    <t>II</t>
  </si>
  <si>
    <t>XI</t>
  </si>
  <si>
    <t>LI</t>
  </si>
  <si>
    <t>I</t>
  </si>
  <si>
    <t>XXI</t>
  </si>
  <si>
    <t>Eleonora Scavone</t>
  </si>
  <si>
    <t>CII</t>
  </si>
  <si>
    <t>X</t>
  </si>
  <si>
    <t>CIII</t>
  </si>
  <si>
    <t>CIV</t>
  </si>
  <si>
    <t>CV</t>
  </si>
  <si>
    <t>CVI</t>
  </si>
  <si>
    <t>XVIII</t>
  </si>
  <si>
    <t>XXIX</t>
  </si>
  <si>
    <t>CXXXVIII</t>
  </si>
  <si>
    <t>LXXXIX</t>
  </si>
  <si>
    <t>XIII</t>
  </si>
  <si>
    <t>LXXXX</t>
  </si>
  <si>
    <t>XIV</t>
  </si>
  <si>
    <t>Elizabeth Yegros</t>
  </si>
  <si>
    <t>IV</t>
  </si>
  <si>
    <t>VII</t>
  </si>
  <si>
    <t>XXIV</t>
  </si>
  <si>
    <t>Claudia Roa</t>
  </si>
  <si>
    <t>Emerging MC</t>
  </si>
  <si>
    <t>III</t>
  </si>
  <si>
    <t>VIII</t>
  </si>
  <si>
    <t>XXXVII</t>
  </si>
  <si>
    <t>XXXXVI</t>
  </si>
  <si>
    <t>XXV</t>
  </si>
  <si>
    <t>Ming Chi Wu</t>
  </si>
  <si>
    <t>IX</t>
  </si>
  <si>
    <t>V</t>
  </si>
  <si>
    <t>VI</t>
  </si>
  <si>
    <t>XXVI</t>
  </si>
  <si>
    <t>XXVII</t>
  </si>
  <si>
    <t>XXVIII</t>
  </si>
  <si>
    <t>XXX</t>
  </si>
  <si>
    <t>XXXI</t>
  </si>
  <si>
    <t>XXXII</t>
  </si>
  <si>
    <t>XII</t>
  </si>
  <si>
    <t>XXXIX</t>
  </si>
  <si>
    <t>XXXXII</t>
  </si>
  <si>
    <t>XXXXIII</t>
  </si>
  <si>
    <t>XXXXIX</t>
  </si>
  <si>
    <t>XXXXVII</t>
  </si>
  <si>
    <t>XXXXVIII</t>
  </si>
  <si>
    <t>L</t>
  </si>
  <si>
    <t>LII</t>
  </si>
  <si>
    <t>XV</t>
  </si>
  <si>
    <t>XVI</t>
  </si>
  <si>
    <t>XVII</t>
  </si>
  <si>
    <t>XIX</t>
  </si>
  <si>
    <t>XX</t>
  </si>
  <si>
    <t>XXII</t>
  </si>
  <si>
    <t>XXIII</t>
  </si>
  <si>
    <t>XXXX</t>
  </si>
  <si>
    <t>XXXXI</t>
  </si>
  <si>
    <t>Hernán Velilla</t>
  </si>
  <si>
    <t>XXXVIII</t>
  </si>
  <si>
    <t>Jorge Denis</t>
  </si>
  <si>
    <t>LXI</t>
  </si>
  <si>
    <t>LXII</t>
  </si>
  <si>
    <t>LXIII</t>
  </si>
  <si>
    <t>LXIV</t>
  </si>
  <si>
    <t>LXV</t>
  </si>
  <si>
    <t>LXVI</t>
  </si>
  <si>
    <t>LXVII</t>
  </si>
  <si>
    <t>LXVIII</t>
  </si>
  <si>
    <t>LXIX</t>
  </si>
  <si>
    <t>LXX</t>
  </si>
  <si>
    <t>LXXI</t>
  </si>
  <si>
    <t>LXXII</t>
  </si>
  <si>
    <t>LXXIII</t>
  </si>
  <si>
    <t>LXXIV</t>
  </si>
  <si>
    <t>LXXV</t>
  </si>
  <si>
    <t>LXXVI</t>
  </si>
  <si>
    <t>LXXVII</t>
  </si>
  <si>
    <t>CXXV</t>
  </si>
  <si>
    <t>XXXIV</t>
  </si>
  <si>
    <t>CXLVIII</t>
  </si>
  <si>
    <t>XXXVI</t>
  </si>
  <si>
    <t>CLVII</t>
  </si>
  <si>
    <t>XXXXXXV</t>
  </si>
  <si>
    <t>CCI</t>
  </si>
  <si>
    <t>XXXXXXVI</t>
  </si>
  <si>
    <t>CCII</t>
  </si>
  <si>
    <t>LXXXVI</t>
  </si>
  <si>
    <t>Juan M. Peña</t>
  </si>
  <si>
    <t>LXXXV</t>
  </si>
  <si>
    <t>Quantum Fund</t>
  </si>
  <si>
    <t>XXXV</t>
  </si>
  <si>
    <t>LXXXVII</t>
  </si>
  <si>
    <t>LXXXVIII</t>
  </si>
  <si>
    <t>Sergio Britos</t>
  </si>
  <si>
    <t>SSBank</t>
  </si>
  <si>
    <t>Daniel Moreno Bogarín</t>
  </si>
  <si>
    <t>XXXXX</t>
  </si>
  <si>
    <t>XXXXXI</t>
  </si>
  <si>
    <t>XXXXXII</t>
  </si>
  <si>
    <t>XXXXXIII</t>
  </si>
  <si>
    <t>XXXXXIV</t>
  </si>
  <si>
    <t>XXXXXV</t>
  </si>
  <si>
    <t>XXXXXVI</t>
  </si>
  <si>
    <t>XXXXXVII</t>
  </si>
  <si>
    <t>XXXXXVIII</t>
  </si>
  <si>
    <t>XXXXXIX</t>
  </si>
  <si>
    <t>XXXXXX</t>
  </si>
  <si>
    <t>XXXXXXI</t>
  </si>
  <si>
    <t>XXXXXXII</t>
  </si>
  <si>
    <t>XXXXXXIII</t>
  </si>
  <si>
    <t>XXXXXXIV</t>
  </si>
  <si>
    <t>Yuan Rómulo Chang Ming</t>
  </si>
  <si>
    <t>XXXXIV</t>
  </si>
  <si>
    <t>XXXXV</t>
  </si>
  <si>
    <t>CEIDOR S.R.L.</t>
  </si>
  <si>
    <t>Cristian Maximiliano Romero M.</t>
  </si>
  <si>
    <t>Cheng Fang Hsiao</t>
  </si>
  <si>
    <t>Carlos Martin Santiago Storm Garcete</t>
  </si>
  <si>
    <t>Jorge Alberto Storm Garcete</t>
  </si>
  <si>
    <t>Celeste Huergo Vietto</t>
  </si>
  <si>
    <t>Preferidas</t>
  </si>
  <si>
    <t>Totales Generales</t>
  </si>
  <si>
    <t>Daniel Moreno</t>
  </si>
  <si>
    <t>Rodney Russell Banks</t>
  </si>
  <si>
    <t xml:space="preserve">* Articulo N° 5 del Estatuto Social: El capital social se fija en la cantidad de Guaraníes seis mil quinientos millones (G.6.500.000.000), distribuido en treinta y cinco mil (35.000) acciones ordinarias, nominativas endosables, de valor nominal de Guaraníes cien mil (G. 100.000) cada una. distribuidas en 50 series de 200 acciones cada una, 5 series de 5000 acciones, caracterizada por numeros romanos para las series y dentro de las mismas arabigos para las acciones y Treinta mil (30,000) acciones preferidas nominaticas  endosables </t>
  </si>
  <si>
    <t>Distribucion de Acciones</t>
  </si>
  <si>
    <t>Ordinarias Nominativas</t>
  </si>
  <si>
    <t>Preferidas Nominativas</t>
  </si>
  <si>
    <t>Porcentaje</t>
  </si>
  <si>
    <t>Bancop Cta. Corrientes USD 0410142603</t>
  </si>
  <si>
    <t>El Comercio Cta. Ahorro USD.</t>
  </si>
  <si>
    <t>Bancop Caja de Ahorro JS USD 0410165042</t>
  </si>
  <si>
    <t>Inversiones En Bonos Usd Cp</t>
  </si>
  <si>
    <t>Intereses A Cobrar Usd</t>
  </si>
  <si>
    <t>s/ Cuentas pasivas</t>
  </si>
  <si>
    <t>Bancop Cta.Cte.GS 0410015970</t>
  </si>
  <si>
    <t>Bancop Cta. Propia CMCB GS 0410145254</t>
  </si>
  <si>
    <t>El Comercio Cta. Ahorro Guaraníes</t>
  </si>
  <si>
    <t>Tu Financiera Ahorro Gs.</t>
  </si>
  <si>
    <t>Bancop Caja de Ahorro HCHW GS 0410168122</t>
  </si>
  <si>
    <t>Bancop Caja de Ahorro CH GS 0410168114</t>
  </si>
  <si>
    <t>TRANSFERENCIAS PENDIENTES DE CLEARING</t>
  </si>
  <si>
    <t>Bancop Caja de Ahorro CHFC GS 0410165034</t>
  </si>
  <si>
    <t>Documentos a cobrar – Servicios Integrales para la Producción</t>
  </si>
  <si>
    <t>Documentos a cobrar – Gustavo Sanabria</t>
  </si>
  <si>
    <t>Remuneración a Rendir</t>
  </si>
  <si>
    <t>Intereses a Vencer</t>
  </si>
  <si>
    <r>
      <t>b-</t>
    </r>
    <r>
      <rPr>
        <b/>
        <sz val="10"/>
        <color indexed="8"/>
        <rFont val="Arial Nova"/>
        <family val="2"/>
      </rPr>
      <t>      Otros Activos No Corrientes</t>
    </r>
  </si>
  <si>
    <t>Otros Activos no Corrientes(Nota 5. j)</t>
  </si>
  <si>
    <t>Deudores En Gestión De Cobro – Morosos O Similares</t>
  </si>
  <si>
    <t>Bancop S.A.</t>
  </si>
  <si>
    <t>Oliservice SRL</t>
  </si>
  <si>
    <t>Zusa SACI</t>
  </si>
  <si>
    <t>Cynthia Teresa Fatecha</t>
  </si>
  <si>
    <t>Venecia SA</t>
  </si>
  <si>
    <t>Essap S.A.</t>
  </si>
  <si>
    <t>Copaco SA</t>
  </si>
  <si>
    <t>Distribuidora El Arte</t>
  </si>
  <si>
    <t>Juan Carlos Busto</t>
  </si>
  <si>
    <t>Lux Professional SA</t>
  </si>
  <si>
    <t>AMX Paraguay SA</t>
  </si>
  <si>
    <t>Cadiem CBSA</t>
  </si>
  <si>
    <t>Telefonía Celular del Paraguay</t>
  </si>
  <si>
    <t>Escribania Maria Idelina Villalba</t>
  </si>
  <si>
    <t>Gestión Empresarial</t>
  </si>
  <si>
    <t>Masspublicidad</t>
  </si>
  <si>
    <t>Varios</t>
  </si>
  <si>
    <t>Massmedia</t>
  </si>
  <si>
    <t>Rodney Banks</t>
  </si>
  <si>
    <t>AYCA</t>
  </si>
  <si>
    <t>CYCE</t>
  </si>
  <si>
    <t>Celeste Huergo</t>
  </si>
  <si>
    <t>Hsiu Chen Wang</t>
  </si>
  <si>
    <t>Accion Bvpasa</t>
  </si>
  <si>
    <t>Otros Pasivos Corrientes</t>
  </si>
  <si>
    <t>Ctas. Ctes. de Clientes por compra-venta de valores</t>
  </si>
  <si>
    <t>Responsabilidad por Administración de Cartera</t>
  </si>
  <si>
    <t>Dividendos a Pagar</t>
  </si>
  <si>
    <t xml:space="preserve">Otros Gastos Operativos  </t>
  </si>
  <si>
    <t>GANANCIAS POR VALUACIÓN DE ACTIVOS MONETARIOS EN MONEDA EXTRANJERA</t>
  </si>
  <si>
    <t>PÉRDIDAS POR VALUACIÓN DE ACTIVOS MONETARIOS EN MONEDA EXTRANJERA</t>
  </si>
  <si>
    <t>s/ Movimientos a informar</t>
  </si>
  <si>
    <t>-           Eleonora Scavone</t>
  </si>
  <si>
    <t>-           Quantum Fund</t>
  </si>
  <si>
    <t>-           SSBank</t>
  </si>
  <si>
    <t>-           Sergio Britos</t>
  </si>
  <si>
    <t>-           Emerging MC</t>
  </si>
  <si>
    <t>-           Juan M. Peña</t>
  </si>
  <si>
    <t>-           Hernán Velilla</t>
  </si>
  <si>
    <t>-           Elizabeth Yegros</t>
  </si>
  <si>
    <t>-           Alberto Acosta</t>
  </si>
  <si>
    <t>Acreedores Varios Vinculados (Nota 5. o)</t>
  </si>
  <si>
    <t>Ingresos Varios</t>
  </si>
  <si>
    <t>Dividendos Cobrados</t>
  </si>
  <si>
    <t>Comisiones Cobradas</t>
  </si>
  <si>
    <t>Preaviso</t>
  </si>
  <si>
    <t>Préstamo Bancop SA</t>
  </si>
  <si>
    <t xml:space="preserve">Préstamos </t>
  </si>
  <si>
    <t>-           Jorge Storm</t>
  </si>
  <si>
    <t>Bancop</t>
  </si>
  <si>
    <t>Descuentos Concedidos</t>
  </si>
  <si>
    <t>Dividendos Pagados</t>
  </si>
  <si>
    <t>Activos Intangibles</t>
  </si>
  <si>
    <t xml:space="preserve"> ACTIVO no CORRIENTE</t>
  </si>
  <si>
    <t xml:space="preserve">Fondos Mutuos - Administradora de Fondos S.A. Gs    </t>
  </si>
  <si>
    <t>Fondos Mutuos - Administradora de Fondos S.A. U$</t>
  </si>
  <si>
    <t xml:space="preserve">Inversiones Permanentes </t>
  </si>
  <si>
    <t>Acción de la Bolsa de Valores (Nota 5.e)</t>
  </si>
  <si>
    <r>
      <t xml:space="preserve">Otros Activos </t>
    </r>
    <r>
      <rPr>
        <sz val="9"/>
        <color theme="1"/>
        <rFont val="Arial"/>
        <family val="2"/>
      </rPr>
      <t>(Nota 5. j)</t>
    </r>
  </si>
  <si>
    <t>PASIVO NO CORRIENTE</t>
  </si>
  <si>
    <t>Deudas Financieras</t>
  </si>
  <si>
    <t>BVPASA Accion</t>
  </si>
  <si>
    <t>Aporte de Capital</t>
  </si>
  <si>
    <t>Transferencia a Resultados Acumulados</t>
  </si>
  <si>
    <t>Valuación de la Acción BVPASA</t>
  </si>
  <si>
    <r>
      <t>Capital Markets Casa de Bolsa S.A</t>
    </r>
    <r>
      <rPr>
        <sz val="9"/>
        <color theme="1"/>
        <rFont val="Arial"/>
        <family val="2"/>
      </rPr>
      <t xml:space="preserve">. Se rige por las disposiciones legales contenidas en la Ley Nº 5810 de Mercados de Capitales y todas las demás disposiciones legales y reglamentarias del país. </t>
    </r>
  </si>
  <si>
    <t>Bienes de Uso (Nota 5. g)</t>
  </si>
  <si>
    <t>Prima de Emisión</t>
  </si>
  <si>
    <t>Activos Intangibles y Cargos Diferidos (Nota 5.i)</t>
  </si>
  <si>
    <t>Pasivo Corriente</t>
  </si>
  <si>
    <t>Deudores en Gestion de cobro</t>
  </si>
  <si>
    <r>
      <t>c-</t>
    </r>
    <r>
      <rPr>
        <b/>
        <sz val="10"/>
        <color indexed="8"/>
        <rFont val="Arial Nova"/>
        <family val="2"/>
      </rPr>
      <t xml:space="preserve">      Deudores por Intermediación </t>
    </r>
    <r>
      <rPr>
        <sz val="10"/>
        <color indexed="8"/>
        <rFont val="Arial Nova"/>
        <family val="2"/>
      </rPr>
      <t xml:space="preserve"> </t>
    </r>
  </si>
  <si>
    <t>Christian Jose Ricciardi Blasco</t>
  </si>
  <si>
    <t>Hector Mathias Godoy Rojas</t>
  </si>
  <si>
    <t>Municipalidad de Villarrica</t>
  </si>
  <si>
    <t>ROYAL SEGUROS SA</t>
  </si>
  <si>
    <t>Gustavo Gonzalez</t>
  </si>
  <si>
    <t>Clientes</t>
  </si>
  <si>
    <t>122/07</t>
  </si>
  <si>
    <t xml:space="preserve">La acción que Capital Markets Casa de Bolsa S.A., posee en la Bolsa de Valores y Productos de Asunción Sociedad Anónima (BVPASA) al 31 de diciembre de 2021 se encuentra valuada al último valor negociado en el Mercado. </t>
  </si>
  <si>
    <t>r.1)  Saldos con personas u empresas relacionadas</t>
  </si>
  <si>
    <t>PARTE RELACIONADA</t>
  </si>
  <si>
    <t>RELACION</t>
  </si>
  <si>
    <t>Acreedores Varios Vinculados</t>
  </si>
  <si>
    <t>r.2)  Transacciones con personas u empresas relacionadas</t>
  </si>
  <si>
    <t>Ingresos</t>
  </si>
  <si>
    <t>Comisiones por operaciones</t>
  </si>
  <si>
    <t>Vice- Presidente</t>
  </si>
  <si>
    <t>Egresos</t>
  </si>
  <si>
    <t>Remuneracion Personal Superior</t>
  </si>
  <si>
    <t xml:space="preserve">CH </t>
  </si>
  <si>
    <t>CFH</t>
  </si>
  <si>
    <t>JS</t>
  </si>
  <si>
    <t>HCW</t>
  </si>
  <si>
    <t>BALANCE GENERAL al 31/03/2022 presentado en forma comparativa con el ejercicio anterior cerrado el 31/12/2021.  (En guaraníes)</t>
  </si>
  <si>
    <t>ESTADO DE RESULTADOS CORRESPONDIENTE AL 31/03/2022 PRESENTADO EN FORMA COMPARATIVA CON EL 31/03/2021. (En guaraníes)</t>
  </si>
  <si>
    <t xml:space="preserve">CORRESPONDIENTE AL 31-03-2022 PRESENTADO EN FORMA COMPARATIVA CON EL PERIODO AL 31-03-2021 </t>
  </si>
  <si>
    <t>CORRESPONDIENTE AL 31/03/2022 PRESENTADO EN FORMA COMPARATIVA CON EL PERIODO AL 31/03/2021</t>
  </si>
  <si>
    <t>3.1.             Los Estados Financieros al 31/03/2022, han sido preparados de acuerdo de acuerdo con Normas de Información Financiera emitidas por el Consejo de Contadores Públicos del Paraguay y
criterios de valuación y exposición dictados por la Comisión Nacional de Valores.</t>
  </si>
  <si>
    <t>Agroganadera 43 S.A.</t>
  </si>
  <si>
    <t>BANCO GNB PARAGUAY S.A.</t>
  </si>
  <si>
    <t>Cidesa</t>
  </si>
  <si>
    <t>Fernando Bogarin</t>
  </si>
  <si>
    <t>Katuete SRL</t>
  </si>
  <si>
    <t>Pablo Zabala</t>
  </si>
  <si>
    <t>SUDAMERIS BANK SAECA</t>
  </si>
  <si>
    <t>SUNDIN STEINAR BENGT</t>
  </si>
  <si>
    <t>TAPE PORA S.A.</t>
  </si>
  <si>
    <t>Vision Banco SAECA</t>
  </si>
  <si>
    <t>Sueldos y jornales</t>
  </si>
  <si>
    <t>ANDE</t>
  </si>
  <si>
    <t xml:space="preserve">Aseguradora Paraguaya SAECA </t>
  </si>
  <si>
    <t>Fernando Villamayor</t>
  </si>
  <si>
    <t>Nucleo</t>
  </si>
  <si>
    <t>Regional Casa de Bolsa S.A.</t>
  </si>
  <si>
    <t>Todobrillo</t>
  </si>
  <si>
    <t>Bancop Cuenta Clearing USD</t>
  </si>
  <si>
    <t>Bancop Cta. Clearing Gs.</t>
  </si>
  <si>
    <t>No se registran cambios en cuenta a criterios contables con respecto al ejercicio anterior cerrado</t>
  </si>
  <si>
    <t>Bvpasa / Adelanto de Arancel</t>
  </si>
  <si>
    <t>Anticipo de Clientes</t>
  </si>
  <si>
    <t>Tarjeta Empresarial</t>
  </si>
  <si>
    <t>Servicio SEN / BVA</t>
  </si>
  <si>
    <t>Utilidad/Pérdida En Venta De Inversiones</t>
  </si>
  <si>
    <t>Iva Costo</t>
  </si>
  <si>
    <t>Otros Ingresos Financieros</t>
  </si>
  <si>
    <t xml:space="preserve"> Ueno Caja de Ahorro USD.</t>
  </si>
  <si>
    <t>Ueno Caja de  Ahorro Guaraníes</t>
  </si>
  <si>
    <t>Ueno Caja de Ahorro USD.</t>
  </si>
  <si>
    <t>Otros deudores</t>
  </si>
  <si>
    <t>GABRIELA CABRAL</t>
  </si>
  <si>
    <t>Información al 31 /03 /2023</t>
  </si>
  <si>
    <t>DLS TECHNOLOGY S.A</t>
  </si>
  <si>
    <t xml:space="preserve"> La Agrícola S.A. de Seguros Generales</t>
  </si>
  <si>
    <t>Otros Activos Corrientes</t>
  </si>
  <si>
    <t>Impuestos, Patentes y Tasas</t>
  </si>
  <si>
    <t>Comisiones Pagadas sobre Ventas</t>
  </si>
  <si>
    <t xml:space="preserve">Los presentes Estados Financieros (Balance General, Estado de Resultados, Estado de Flujo de Efectivo y Estado de Variación del Patrimonio Neto) correspondientes al 31 de marzo de 2023 se considerado y aprobado por la reunion de directorio N°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</si>
</sst>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_ * #,##0_ ;_ * \-#,##0_ ;_ * &quot;-&quot;_ ;_ @_ "/>
    <numFmt numFmtId="165" formatCode="_-* #,##0.00_-;\-* #,##0.00_-;_-* &quot;-&quot;??_-;_-@_-"/>
    <numFmt numFmtId="166" formatCode="_-* #,##0_-;\-* #,##0_-;_-* &quot;-&quot;??_-;_-@_-"/>
    <numFmt numFmtId="167" formatCode="_(* #,##0.00_);_(* \(#,##0.00\);_(* \-??_);_(@_)"/>
    <numFmt numFmtId="168" formatCode="&quot;₲&quot;\ #,##0"/>
    <numFmt numFmtId="169" formatCode="dd/mm/yyyy;@"/>
  </numFmts>
  <fonts count="105">
    <font>
      <sz val="11"/>
      <color theme="1"/>
      <name val="Calibri"/>
      <family val="2"/>
      <scheme val="minor"/>
    </font>
    <font>
      <b/>
      <sz val="9"/>
      <color indexed="8"/>
      <name val="Arial"/>
      <family val="2"/>
    </font>
    <font>
      <sz val="9"/>
      <color indexed="8"/>
      <name val="Arial"/>
      <family val="2"/>
    </font>
    <font>
      <b/>
      <sz val="9"/>
      <name val="Arial"/>
      <family val="2"/>
    </font>
    <font>
      <b/>
      <sz val="10"/>
      <color indexed="8"/>
      <name val="Calibri"/>
      <family val="2"/>
    </font>
    <font>
      <sz val="10"/>
      <color indexed="8"/>
      <name val="Calibri"/>
      <family val="2"/>
    </font>
    <font>
      <b/>
      <sz val="7"/>
      <color indexed="8"/>
      <name val="Times New Roman"/>
      <family val="1"/>
    </font>
    <font>
      <sz val="9"/>
      <name val="Arial"/>
      <family val="2"/>
    </font>
    <font>
      <sz val="10"/>
      <name val="Arial"/>
      <family val="2"/>
    </font>
    <font>
      <sz val="10"/>
      <name val="Calibri"/>
      <family val="2"/>
    </font>
    <font>
      <sz val="11"/>
      <name val="Calibri"/>
      <family val="2"/>
    </font>
    <font>
      <sz val="9"/>
      <name val="Calibri"/>
      <family val="2"/>
    </font>
    <font>
      <b/>
      <u/>
      <sz val="9"/>
      <name val="Calibri"/>
      <family val="2"/>
    </font>
    <font>
      <sz val="11"/>
      <color indexed="8"/>
      <name val="Calibri"/>
      <family val="2"/>
      <charset val="1"/>
    </font>
    <font>
      <sz val="11"/>
      <color theme="1"/>
      <name val="Calibri"/>
      <family val="2"/>
      <scheme val="minor"/>
    </font>
    <font>
      <b/>
      <sz val="11"/>
      <color theme="1"/>
      <name val="Calibri"/>
      <family val="2"/>
      <scheme val="minor"/>
    </font>
    <font>
      <sz val="9"/>
      <color theme="1"/>
      <name val="Calibri"/>
      <family val="2"/>
    </font>
    <font>
      <sz val="10"/>
      <color theme="1"/>
      <name val="Times New Roman"/>
      <family val="1"/>
    </font>
    <font>
      <sz val="8"/>
      <color theme="1"/>
      <name val="Calibri"/>
      <family val="2"/>
    </font>
    <font>
      <b/>
      <sz val="7"/>
      <color theme="1"/>
      <name val="Arial"/>
      <family val="2"/>
    </font>
    <font>
      <b/>
      <sz val="9"/>
      <color theme="1"/>
      <name val="Arial"/>
      <family val="2"/>
    </font>
    <font>
      <sz val="9"/>
      <color theme="1"/>
      <name val="Arial"/>
      <family val="2"/>
    </font>
    <font>
      <sz val="9"/>
      <color theme="1"/>
      <name val="Calibri"/>
      <family val="2"/>
      <scheme val="minor"/>
    </font>
    <font>
      <sz val="12"/>
      <color theme="1"/>
      <name val="Calibri"/>
      <family val="2"/>
      <scheme val="minor"/>
    </font>
    <font>
      <b/>
      <sz val="11"/>
      <color theme="1"/>
      <name val="Calibri"/>
      <family val="2"/>
    </font>
    <font>
      <b/>
      <u/>
      <sz val="11"/>
      <color theme="1"/>
      <name val="Calibri"/>
      <family val="2"/>
    </font>
    <font>
      <sz val="11"/>
      <color theme="1"/>
      <name val="Calibri"/>
      <family val="2"/>
    </font>
    <font>
      <sz val="8"/>
      <color rgb="FF000000"/>
      <name val="Calibri"/>
      <family val="2"/>
    </font>
    <font>
      <b/>
      <sz val="10"/>
      <color theme="1"/>
      <name val="Calibri"/>
      <family val="2"/>
    </font>
    <font>
      <sz val="12"/>
      <color theme="1"/>
      <name val="Calibri"/>
      <family val="2"/>
    </font>
    <font>
      <b/>
      <sz val="12"/>
      <color theme="1"/>
      <name val="Calibri"/>
      <family val="2"/>
    </font>
    <font>
      <sz val="10"/>
      <color theme="1"/>
      <name val="Calibri"/>
      <family val="2"/>
    </font>
    <font>
      <b/>
      <sz val="10"/>
      <color rgb="FF000000"/>
      <name val="Calibri"/>
      <family val="2"/>
    </font>
    <font>
      <b/>
      <i/>
      <sz val="10"/>
      <color theme="1"/>
      <name val="Calibri"/>
      <family val="2"/>
    </font>
    <font>
      <sz val="10"/>
      <color rgb="FFFF0000"/>
      <name val="Calibri"/>
      <family val="2"/>
      <scheme val="minor"/>
    </font>
    <font>
      <sz val="10"/>
      <color theme="1"/>
      <name val="Calibri"/>
      <family val="2"/>
      <scheme val="minor"/>
    </font>
    <font>
      <sz val="11"/>
      <name val="Calibri"/>
      <family val="2"/>
      <scheme val="minor"/>
    </font>
    <font>
      <sz val="9"/>
      <name val="Calibri"/>
      <family val="2"/>
      <scheme val="minor"/>
    </font>
    <font>
      <b/>
      <u/>
      <sz val="9"/>
      <color theme="1"/>
      <name val="Calibri"/>
      <family val="2"/>
    </font>
    <font>
      <b/>
      <sz val="11"/>
      <color rgb="FFFF0000"/>
      <name val="Calibri"/>
      <family val="2"/>
      <scheme val="minor"/>
    </font>
    <font>
      <sz val="11"/>
      <color rgb="FFFF0000"/>
      <name val="Calibri"/>
      <family val="2"/>
      <scheme val="minor"/>
    </font>
    <font>
      <sz val="11"/>
      <color theme="0"/>
      <name val="Calibri"/>
      <family val="2"/>
      <scheme val="minor"/>
    </font>
    <font>
      <b/>
      <sz val="8"/>
      <color theme="1"/>
      <name val="Calibri"/>
      <family val="2"/>
    </font>
    <font>
      <sz val="7"/>
      <color theme="1"/>
      <name val="Calibri"/>
      <family val="2"/>
    </font>
    <font>
      <b/>
      <sz val="8"/>
      <color rgb="FF000000"/>
      <name val="Calibri"/>
      <family val="2"/>
    </font>
    <font>
      <sz val="8"/>
      <color theme="1"/>
      <name val="Calibri"/>
      <family val="2"/>
      <scheme val="minor"/>
    </font>
    <font>
      <b/>
      <sz val="11"/>
      <color rgb="FF000000"/>
      <name val="Calibri"/>
      <family val="2"/>
    </font>
    <font>
      <sz val="10"/>
      <color rgb="FF000000"/>
      <name val="Calibri"/>
      <family val="2"/>
    </font>
    <font>
      <i/>
      <sz val="10"/>
      <color rgb="FF000000"/>
      <name val="Calibri"/>
      <family val="2"/>
    </font>
    <font>
      <b/>
      <sz val="9"/>
      <color rgb="FF000000"/>
      <name val="Calibri"/>
      <family val="2"/>
    </font>
    <font>
      <b/>
      <u/>
      <sz val="9"/>
      <color rgb="FF000000"/>
      <name val="Calibri"/>
      <family val="2"/>
    </font>
    <font>
      <sz val="9"/>
      <color rgb="FF000000"/>
      <name val="Calibri"/>
      <family val="2"/>
    </font>
    <font>
      <i/>
      <sz val="9"/>
      <color rgb="FF000000"/>
      <name val="Calibri"/>
      <family val="2"/>
    </font>
    <font>
      <b/>
      <i/>
      <sz val="11"/>
      <color rgb="FF000000"/>
      <name val="Calibri"/>
      <family val="2"/>
      <scheme val="minor"/>
    </font>
    <font>
      <i/>
      <sz val="11"/>
      <color rgb="FF000000"/>
      <name val="Calibri"/>
      <family val="2"/>
      <scheme val="minor"/>
    </font>
    <font>
      <b/>
      <sz val="11"/>
      <color rgb="FF000000"/>
      <name val="Calibri"/>
      <family val="2"/>
      <scheme val="minor"/>
    </font>
    <font>
      <sz val="9"/>
      <color theme="1"/>
      <name val="EYInterstate Light"/>
    </font>
    <font>
      <b/>
      <sz val="9"/>
      <color theme="1"/>
      <name val="Calibri"/>
      <family val="2"/>
      <scheme val="minor"/>
    </font>
    <font>
      <b/>
      <sz val="11"/>
      <color theme="1"/>
      <name val="Arial"/>
      <family val="2"/>
    </font>
    <font>
      <b/>
      <sz val="10"/>
      <name val="Calibri"/>
      <family val="2"/>
    </font>
    <font>
      <b/>
      <sz val="12"/>
      <name val="Calibri"/>
      <family val="2"/>
    </font>
    <font>
      <b/>
      <sz val="11"/>
      <name val="Calibri"/>
      <family val="2"/>
    </font>
    <font>
      <b/>
      <sz val="7"/>
      <name val="Times New Roman"/>
      <family val="1"/>
    </font>
    <font>
      <sz val="11"/>
      <color theme="0"/>
      <name val="Museo Sans 100"/>
      <family val="3"/>
    </font>
    <font>
      <b/>
      <sz val="11"/>
      <color theme="1"/>
      <name val="Museo Sans 100"/>
      <family val="3"/>
    </font>
    <font>
      <b/>
      <sz val="9"/>
      <color theme="1"/>
      <name val="Arial Nova"/>
      <family val="2"/>
    </font>
    <font>
      <sz val="9"/>
      <color theme="1"/>
      <name val="Arial Nova"/>
      <family val="2"/>
    </font>
    <font>
      <sz val="11"/>
      <color theme="1"/>
      <name val="Arial Nova"/>
      <family val="2"/>
    </font>
    <font>
      <b/>
      <sz val="10"/>
      <color theme="1"/>
      <name val="Arial Nova"/>
      <family val="2"/>
    </font>
    <font>
      <b/>
      <sz val="10"/>
      <color indexed="8"/>
      <name val="Arial Nova"/>
      <family val="2"/>
    </font>
    <font>
      <sz val="10"/>
      <color theme="1"/>
      <name val="Arial Nova"/>
      <family val="2"/>
    </font>
    <font>
      <b/>
      <u/>
      <sz val="10"/>
      <color theme="1"/>
      <name val="Arial Nova"/>
      <family val="2"/>
    </font>
    <font>
      <sz val="10"/>
      <color indexed="8"/>
      <name val="Arial Nova"/>
      <family val="2"/>
    </font>
    <font>
      <sz val="10"/>
      <name val="Arial Nova"/>
      <family val="2"/>
    </font>
    <font>
      <b/>
      <sz val="10"/>
      <name val="Arial Nova"/>
      <family val="2"/>
    </font>
    <font>
      <sz val="8"/>
      <color theme="1"/>
      <name val="Arial Nova"/>
      <family val="2"/>
    </font>
    <font>
      <b/>
      <i/>
      <sz val="10"/>
      <color theme="1"/>
      <name val="Arial Nova"/>
      <family val="2"/>
    </font>
    <font>
      <i/>
      <sz val="10"/>
      <color indexed="8"/>
      <name val="Arial Nova"/>
      <family val="2"/>
    </font>
    <font>
      <sz val="7"/>
      <color theme="1"/>
      <name val="Arial Nova"/>
      <family val="2"/>
    </font>
    <font>
      <b/>
      <sz val="8"/>
      <color theme="1"/>
      <name val="Arial Nova"/>
      <family val="2"/>
    </font>
    <font>
      <b/>
      <sz val="16"/>
      <color theme="4"/>
      <name val="Arial Nova"/>
      <family val="2"/>
    </font>
    <font>
      <u/>
      <sz val="14"/>
      <color theme="4"/>
      <name val="Arial Nova"/>
      <family val="2"/>
    </font>
    <font>
      <sz val="11"/>
      <color theme="4"/>
      <name val="Arial Nova"/>
      <family val="2"/>
    </font>
    <font>
      <b/>
      <sz val="11"/>
      <color theme="4"/>
      <name val="Calibri"/>
      <family val="2"/>
      <scheme val="minor"/>
    </font>
    <font>
      <b/>
      <u/>
      <sz val="11"/>
      <color theme="4"/>
      <name val="Calibri"/>
      <family val="2"/>
    </font>
    <font>
      <b/>
      <sz val="11"/>
      <color theme="4"/>
      <name val="Calibri"/>
      <family val="2"/>
    </font>
    <font>
      <b/>
      <u/>
      <sz val="10"/>
      <color theme="4"/>
      <name val="Calibri"/>
      <family val="2"/>
    </font>
    <font>
      <b/>
      <sz val="10"/>
      <color theme="4"/>
      <name val="Calibri"/>
      <family val="2"/>
    </font>
    <font>
      <b/>
      <sz val="12"/>
      <color theme="4"/>
      <name val="Calibri"/>
      <family val="2"/>
    </font>
    <font>
      <sz val="10"/>
      <color theme="4"/>
      <name val="Calibri"/>
      <family val="2"/>
    </font>
    <font>
      <b/>
      <sz val="8"/>
      <color theme="4"/>
      <name val="Calibri"/>
      <family val="2"/>
    </font>
    <font>
      <sz val="7"/>
      <color theme="1"/>
      <name val="Times New Roman"/>
      <family val="1"/>
    </font>
    <font>
      <b/>
      <sz val="9"/>
      <color theme="4"/>
      <name val="Calibri"/>
      <family val="2"/>
    </font>
    <font>
      <b/>
      <sz val="9"/>
      <color theme="4"/>
      <name val="Arial"/>
      <family val="2"/>
    </font>
    <font>
      <b/>
      <sz val="9"/>
      <color theme="4"/>
      <name val="Arial Nova"/>
      <family val="2"/>
    </font>
    <font>
      <b/>
      <sz val="8"/>
      <color theme="4"/>
      <name val="Arial Nova"/>
      <family val="2"/>
    </font>
    <font>
      <sz val="7"/>
      <name val="Arial Nova"/>
      <family val="2"/>
    </font>
    <font>
      <sz val="8"/>
      <name val="Calibri"/>
      <family val="2"/>
    </font>
    <font>
      <sz val="9"/>
      <color theme="4"/>
      <name val="Calibri"/>
      <family val="2"/>
    </font>
    <font>
      <b/>
      <sz val="11"/>
      <color theme="4"/>
      <name val="Arial Nova"/>
      <family val="2"/>
    </font>
    <font>
      <b/>
      <sz val="11"/>
      <name val="Arial Nova"/>
      <family val="2"/>
    </font>
    <font>
      <sz val="9"/>
      <name val="Arial Nova"/>
      <family val="2"/>
    </font>
    <font>
      <b/>
      <sz val="9"/>
      <color rgb="FFFF0000"/>
      <name val="Arial"/>
      <family val="2"/>
    </font>
    <font>
      <sz val="10"/>
      <color rgb="FFFF0000"/>
      <name val="Times New Roman"/>
      <family val="1"/>
    </font>
    <font>
      <sz val="10"/>
      <name val="Verdana"/>
      <family val="2"/>
    </font>
  </fonts>
  <fills count="10">
    <fill>
      <patternFill patternType="none"/>
    </fill>
    <fill>
      <patternFill patternType="gray125"/>
    </fill>
    <fill>
      <patternFill patternType="solid">
        <fgColor rgb="FFF2F2F2"/>
        <bgColor indexed="64"/>
      </patternFill>
    </fill>
    <fill>
      <patternFill patternType="gray125">
        <bgColor theme="0" tint="-4.9989318521683403E-2"/>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gray125">
        <bgColor theme="7" tint="0.39997558519241921"/>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s>
  <cellStyleXfs count="9">
    <xf numFmtId="0" fontId="0" fillId="0" borderId="0"/>
    <xf numFmtId="0" fontId="13" fillId="0" borderId="0"/>
    <xf numFmtId="165" fontId="14" fillId="0" borderId="0" applyFont="0" applyFill="0" applyBorder="0" applyAlignment="0" applyProtection="0"/>
    <xf numFmtId="164" fontId="14" fillId="0" borderId="0" applyFont="0" applyFill="0" applyBorder="0" applyAlignment="0" applyProtection="0"/>
    <xf numFmtId="167" fontId="8" fillId="0" borderId="0" applyFill="0" applyBorder="0" applyAlignment="0" applyProtection="0"/>
    <xf numFmtId="43" fontId="14" fillId="0" borderId="0" applyFont="0" applyFill="0" applyBorder="0" applyAlignment="0" applyProtection="0"/>
    <xf numFmtId="0" fontId="8" fillId="0" borderId="0"/>
    <xf numFmtId="9" fontId="14" fillId="0" borderId="0" applyFont="0" applyFill="0" applyBorder="0" applyAlignment="0" applyProtection="0"/>
    <xf numFmtId="164" fontId="14" fillId="0" borderId="0" applyFont="0" applyFill="0" applyBorder="0" applyAlignment="0" applyProtection="0"/>
  </cellStyleXfs>
  <cellXfs count="498">
    <xf numFmtId="0" fontId="0" fillId="0" borderId="0" xfId="0"/>
    <xf numFmtId="0" fontId="15" fillId="0" borderId="0" xfId="0" applyFont="1"/>
    <xf numFmtId="0" fontId="16" fillId="0" borderId="0" xfId="0" applyFont="1" applyAlignment="1">
      <alignment horizontal="left" vertical="center" indent="5"/>
    </xf>
    <xf numFmtId="0" fontId="17" fillId="0" borderId="0" xfId="0" applyFont="1" applyAlignment="1">
      <alignment vertical="center" wrapText="1"/>
    </xf>
    <xf numFmtId="0" fontId="19" fillId="0" borderId="0" xfId="0" applyFont="1"/>
    <xf numFmtId="0" fontId="19" fillId="0" borderId="0" xfId="0" applyFont="1" applyAlignment="1">
      <alignment horizontal="center"/>
    </xf>
    <xf numFmtId="0" fontId="23" fillId="0" borderId="0" xfId="0" applyFont="1"/>
    <xf numFmtId="0" fontId="25" fillId="0" borderId="0" xfId="0" applyFont="1" applyAlignment="1">
      <alignment horizontal="justify" vertical="center"/>
    </xf>
    <xf numFmtId="0" fontId="26" fillId="0" borderId="0" xfId="0" applyFont="1" applyAlignment="1">
      <alignment horizontal="justify" vertical="center"/>
    </xf>
    <xf numFmtId="0" fontId="27" fillId="0" borderId="0" xfId="0" applyFont="1" applyBorder="1" applyAlignment="1">
      <alignment horizontal="left" vertical="center" wrapText="1"/>
    </xf>
    <xf numFmtId="4" fontId="18" fillId="0" borderId="0" xfId="0" applyNumberFormat="1" applyFont="1" applyBorder="1" applyAlignment="1">
      <alignment horizontal="center" vertical="center" wrapText="1"/>
    </xf>
    <xf numFmtId="3" fontId="18" fillId="0" borderId="0" xfId="0" applyNumberFormat="1" applyFont="1" applyBorder="1" applyAlignment="1">
      <alignment horizontal="center" vertical="center" wrapText="1"/>
    </xf>
    <xf numFmtId="0" fontId="24" fillId="0" borderId="0" xfId="0" applyFont="1" applyBorder="1" applyAlignment="1">
      <alignment horizontal="right" vertical="center"/>
    </xf>
    <xf numFmtId="3" fontId="0" fillId="0" borderId="0" xfId="0" applyNumberFormat="1"/>
    <xf numFmtId="0" fontId="0" fillId="0" borderId="0" xfId="0" applyBorder="1"/>
    <xf numFmtId="0" fontId="29" fillId="0" borderId="0" xfId="0" applyFont="1" applyBorder="1" applyAlignment="1">
      <alignment horizontal="right" vertical="center"/>
    </xf>
    <xf numFmtId="3" fontId="30" fillId="0" borderId="0" xfId="0" applyNumberFormat="1" applyFont="1" applyBorder="1" applyAlignment="1">
      <alignment horizontal="right" vertical="center"/>
    </xf>
    <xf numFmtId="0" fontId="26" fillId="0" borderId="0" xfId="0" applyFont="1" applyBorder="1" applyAlignment="1">
      <alignment horizontal="right" vertical="center"/>
    </xf>
    <xf numFmtId="0" fontId="31" fillId="0" borderId="0" xfId="0" applyFont="1" applyBorder="1" applyAlignment="1">
      <alignment horizontal="right" vertical="center"/>
    </xf>
    <xf numFmtId="0" fontId="28" fillId="0" borderId="0" xfId="0" applyFont="1" applyBorder="1" applyAlignment="1">
      <alignment horizontal="right" vertical="center"/>
    </xf>
    <xf numFmtId="0" fontId="0" fillId="0" borderId="0" xfId="0" applyFill="1"/>
    <xf numFmtId="0" fontId="0" fillId="0" borderId="0" xfId="0" applyFill="1" applyBorder="1"/>
    <xf numFmtId="166" fontId="0" fillId="0" borderId="0" xfId="0" applyNumberFormat="1"/>
    <xf numFmtId="0" fontId="34" fillId="0" borderId="0" xfId="0" applyFont="1"/>
    <xf numFmtId="0" fontId="35" fillId="0" borderId="0" xfId="0" applyFont="1"/>
    <xf numFmtId="166" fontId="35" fillId="0" borderId="0" xfId="2" applyNumberFormat="1" applyFont="1"/>
    <xf numFmtId="165" fontId="31" fillId="0" borderId="0" xfId="2" applyFont="1" applyBorder="1" applyAlignment="1">
      <alignment horizontal="right" vertical="center"/>
    </xf>
    <xf numFmtId="0" fontId="31" fillId="0" borderId="0" xfId="0" applyFont="1" applyBorder="1" applyAlignment="1">
      <alignment horizontal="right" vertical="center" wrapText="1"/>
    </xf>
    <xf numFmtId="0" fontId="28" fillId="0" borderId="0" xfId="0" applyFont="1" applyBorder="1" applyAlignment="1">
      <alignment horizontal="right" vertical="center" wrapText="1"/>
    </xf>
    <xf numFmtId="0" fontId="35" fillId="0" borderId="0" xfId="0" applyFont="1" applyBorder="1"/>
    <xf numFmtId="0" fontId="28" fillId="0" borderId="0" xfId="0" applyFont="1" applyBorder="1" applyAlignment="1">
      <alignment vertical="center"/>
    </xf>
    <xf numFmtId="0" fontId="36" fillId="0" borderId="0" xfId="0" applyFont="1"/>
    <xf numFmtId="3" fontId="36" fillId="0" borderId="0" xfId="0" applyNumberFormat="1" applyFont="1"/>
    <xf numFmtId="0" fontId="12" fillId="0" borderId="1" xfId="0" applyFont="1" applyBorder="1" applyAlignment="1">
      <alignment vertical="center" wrapText="1"/>
    </xf>
    <xf numFmtId="0" fontId="30" fillId="0" borderId="0" xfId="0" applyFont="1" applyAlignment="1">
      <alignment horizontal="center" vertical="center"/>
    </xf>
    <xf numFmtId="0" fontId="33" fillId="0" borderId="0" xfId="0" applyFont="1" applyFill="1" applyBorder="1" applyAlignment="1">
      <alignment horizontal="right" vertical="center"/>
    </xf>
    <xf numFmtId="0" fontId="40" fillId="0" borderId="0" xfId="0" applyFont="1" applyFill="1"/>
    <xf numFmtId="3" fontId="35" fillId="0" borderId="0" xfId="0" applyNumberFormat="1" applyFont="1"/>
    <xf numFmtId="0" fontId="41" fillId="0" borderId="0" xfId="0" applyFont="1"/>
    <xf numFmtId="166" fontId="35" fillId="0" borderId="0" xfId="0" applyNumberFormat="1" applyFont="1"/>
    <xf numFmtId="1" fontId="35" fillId="0" borderId="0" xfId="0" applyNumberFormat="1" applyFont="1"/>
    <xf numFmtId="0" fontId="30" fillId="0" borderId="0" xfId="0" applyFont="1" applyAlignment="1">
      <alignment horizontal="center" vertical="center"/>
    </xf>
    <xf numFmtId="3" fontId="0" fillId="0" borderId="1" xfId="0" applyNumberFormat="1" applyBorder="1"/>
    <xf numFmtId="0" fontId="26" fillId="0" borderId="1" xfId="0" applyFont="1" applyBorder="1" applyAlignment="1">
      <alignment vertical="center"/>
    </xf>
    <xf numFmtId="166" fontId="26" fillId="0" borderId="1" xfId="2" applyNumberFormat="1" applyFont="1" applyFill="1" applyBorder="1" applyAlignment="1">
      <alignment horizontal="right" vertical="center"/>
    </xf>
    <xf numFmtId="0" fontId="24" fillId="0" borderId="1" xfId="0" applyFont="1" applyBorder="1" applyAlignment="1">
      <alignment vertical="center"/>
    </xf>
    <xf numFmtId="166" fontId="24" fillId="0" borderId="1" xfId="2" applyNumberFormat="1" applyFont="1" applyBorder="1" applyAlignment="1">
      <alignment horizontal="right" vertical="center"/>
    </xf>
    <xf numFmtId="3" fontId="0" fillId="0" borderId="1" xfId="0" applyNumberFormat="1" applyBorder="1" applyAlignment="1">
      <alignment wrapText="1"/>
    </xf>
    <xf numFmtId="166" fontId="31" fillId="0" borderId="1" xfId="2" applyNumberFormat="1" applyFont="1" applyFill="1" applyBorder="1" applyAlignment="1">
      <alignment horizontal="right" vertical="center"/>
    </xf>
    <xf numFmtId="0" fontId="0" fillId="0" borderId="0" xfId="0"/>
    <xf numFmtId="166" fontId="24" fillId="0" borderId="1" xfId="2" applyNumberFormat="1" applyFont="1" applyFill="1" applyBorder="1" applyAlignment="1">
      <alignment horizontal="right" vertical="center"/>
    </xf>
    <xf numFmtId="0" fontId="19" fillId="0" borderId="0" xfId="0" applyFont="1" applyAlignment="1">
      <alignment horizontal="center" vertical="center"/>
    </xf>
    <xf numFmtId="0" fontId="19" fillId="0" borderId="0" xfId="0" applyFont="1" applyBorder="1" applyAlignment="1">
      <alignment horizontal="center" vertical="center"/>
    </xf>
    <xf numFmtId="0" fontId="24" fillId="0" borderId="0" xfId="0" applyFont="1" applyAlignment="1">
      <alignment vertical="center"/>
    </xf>
    <xf numFmtId="0" fontId="26" fillId="0" borderId="1" xfId="0" applyFont="1" applyBorder="1" applyAlignment="1">
      <alignment horizontal="justify" vertical="center" wrapText="1"/>
    </xf>
    <xf numFmtId="0" fontId="24" fillId="0" borderId="1" xfId="0" applyFont="1" applyBorder="1" applyAlignment="1">
      <alignment horizontal="justify" vertical="center" wrapText="1"/>
    </xf>
    <xf numFmtId="3" fontId="24" fillId="0" borderId="1" xfId="0" applyNumberFormat="1" applyFont="1" applyFill="1" applyBorder="1" applyAlignment="1">
      <alignment horizontal="right" vertical="center" wrapText="1"/>
    </xf>
    <xf numFmtId="3" fontId="24" fillId="0" borderId="1" xfId="0" applyNumberFormat="1" applyFont="1" applyBorder="1" applyAlignment="1">
      <alignment horizontal="right" vertical="center" wrapText="1"/>
    </xf>
    <xf numFmtId="0" fontId="26" fillId="0" borderId="1" xfId="0" applyFont="1" applyBorder="1" applyAlignment="1">
      <alignment vertical="center" wrapText="1"/>
    </xf>
    <xf numFmtId="0" fontId="31" fillId="0" borderId="1" xfId="0" applyFont="1" applyBorder="1" applyAlignment="1">
      <alignment horizontal="justify" vertical="center" wrapText="1"/>
    </xf>
    <xf numFmtId="3" fontId="31" fillId="0" borderId="1" xfId="0" applyNumberFormat="1" applyFont="1" applyFill="1" applyBorder="1" applyAlignment="1">
      <alignment horizontal="right" vertical="center" wrapText="1"/>
    </xf>
    <xf numFmtId="3" fontId="31" fillId="0" borderId="1" xfId="0" applyNumberFormat="1" applyFont="1" applyBorder="1" applyAlignment="1">
      <alignment horizontal="right" vertical="center" wrapText="1"/>
    </xf>
    <xf numFmtId="0" fontId="31" fillId="0" borderId="1" xfId="0" applyFont="1" applyBorder="1" applyAlignment="1">
      <alignment horizontal="right" vertical="center" wrapText="1"/>
    </xf>
    <xf numFmtId="0" fontId="31" fillId="0" borderId="1" xfId="0" applyFont="1" applyFill="1" applyBorder="1" applyAlignment="1">
      <alignment horizontal="right" vertical="center" wrapText="1"/>
    </xf>
    <xf numFmtId="0" fontId="28" fillId="0" borderId="1" xfId="0" applyFont="1" applyBorder="1" applyAlignment="1">
      <alignment horizontal="justify" vertical="center" wrapText="1"/>
    </xf>
    <xf numFmtId="3" fontId="28" fillId="0" borderId="1" xfId="0" applyNumberFormat="1" applyFont="1" applyFill="1" applyBorder="1" applyAlignment="1">
      <alignment horizontal="right" vertical="center" wrapText="1"/>
    </xf>
    <xf numFmtId="3" fontId="28" fillId="0" borderId="1" xfId="0" applyNumberFormat="1" applyFont="1" applyBorder="1" applyAlignment="1">
      <alignment horizontal="right" vertical="center" wrapText="1"/>
    </xf>
    <xf numFmtId="166" fontId="31" fillId="0" borderId="1" xfId="2" applyNumberFormat="1" applyFont="1" applyFill="1" applyBorder="1" applyAlignment="1">
      <alignment horizontal="right" vertical="center" wrapText="1"/>
    </xf>
    <xf numFmtId="0" fontId="31" fillId="0" borderId="1" xfId="0" applyFont="1" applyBorder="1" applyAlignment="1">
      <alignment vertical="center"/>
    </xf>
    <xf numFmtId="166" fontId="31" fillId="0" borderId="1" xfId="2" applyNumberFormat="1" applyFont="1" applyBorder="1" applyAlignment="1">
      <alignment horizontal="right" vertical="center"/>
    </xf>
    <xf numFmtId="0" fontId="28" fillId="0" borderId="1" xfId="0" applyFont="1" applyBorder="1" applyAlignment="1">
      <alignment vertical="center"/>
    </xf>
    <xf numFmtId="0" fontId="31" fillId="0" borderId="1" xfId="0" applyFont="1" applyBorder="1" applyAlignment="1">
      <alignment vertical="center" wrapText="1"/>
    </xf>
    <xf numFmtId="0" fontId="28" fillId="0" borderId="1" xfId="0" applyFont="1" applyBorder="1" applyAlignment="1">
      <alignment vertical="center" wrapText="1"/>
    </xf>
    <xf numFmtId="166" fontId="28" fillId="0" borderId="1" xfId="2" applyNumberFormat="1" applyFont="1" applyBorder="1" applyAlignment="1">
      <alignment horizontal="right" vertical="center" wrapText="1"/>
    </xf>
    <xf numFmtId="166" fontId="28" fillId="0" borderId="1" xfId="2" applyNumberFormat="1" applyFont="1" applyBorder="1" applyAlignment="1">
      <alignment horizontal="right" vertical="center"/>
    </xf>
    <xf numFmtId="0" fontId="28" fillId="0" borderId="1" xfId="0" applyFont="1" applyBorder="1" applyAlignment="1">
      <alignment horizontal="right" vertical="center" wrapText="1"/>
    </xf>
    <xf numFmtId="0" fontId="31" fillId="0" borderId="1" xfId="0" applyFont="1" applyBorder="1" applyAlignment="1">
      <alignment horizontal="right" vertical="center"/>
    </xf>
    <xf numFmtId="0" fontId="28" fillId="0" borderId="1" xfId="0" applyFont="1" applyBorder="1" applyAlignment="1">
      <alignment horizontal="right" vertical="center"/>
    </xf>
    <xf numFmtId="0" fontId="31" fillId="0" borderId="1" xfId="0" applyFont="1" applyBorder="1" applyAlignment="1">
      <alignment horizontal="center" vertical="center" wrapText="1"/>
    </xf>
    <xf numFmtId="3" fontId="28" fillId="0" borderId="1" xfId="0" applyNumberFormat="1" applyFont="1" applyBorder="1" applyAlignment="1">
      <alignment horizontal="center" vertical="center" wrapText="1"/>
    </xf>
    <xf numFmtId="0" fontId="31" fillId="0" borderId="1" xfId="0" applyFont="1" applyFill="1" applyBorder="1" applyAlignment="1">
      <alignment horizontal="justify" vertical="center" wrapText="1"/>
    </xf>
    <xf numFmtId="3" fontId="31" fillId="0" borderId="1" xfId="0" applyNumberFormat="1" applyFont="1" applyFill="1" applyBorder="1" applyAlignment="1">
      <alignment horizontal="center" vertical="center" wrapText="1"/>
    </xf>
    <xf numFmtId="3" fontId="31" fillId="0" borderId="1" xfId="0" applyNumberFormat="1" applyFont="1" applyBorder="1" applyAlignment="1">
      <alignment horizontal="center" vertical="center" wrapText="1"/>
    </xf>
    <xf numFmtId="3" fontId="31" fillId="0" borderId="1" xfId="0" applyNumberFormat="1" applyFont="1" applyBorder="1" applyAlignment="1">
      <alignment horizontal="right" vertical="center"/>
    </xf>
    <xf numFmtId="3" fontId="28" fillId="0" borderId="1" xfId="0" applyNumberFormat="1" applyFont="1" applyBorder="1" applyAlignment="1">
      <alignment horizontal="right" vertical="center"/>
    </xf>
    <xf numFmtId="0" fontId="29" fillId="0" borderId="1" xfId="0" applyFont="1" applyBorder="1" applyAlignment="1">
      <alignment vertical="center"/>
    </xf>
    <xf numFmtId="166" fontId="29" fillId="0" borderId="1" xfId="2" applyNumberFormat="1" applyFont="1" applyFill="1" applyBorder="1" applyAlignment="1">
      <alignment horizontal="right" vertical="center"/>
    </xf>
    <xf numFmtId="166" fontId="29" fillId="0" borderId="1" xfId="2" applyNumberFormat="1" applyFont="1" applyBorder="1" applyAlignment="1">
      <alignment horizontal="right" vertical="center"/>
    </xf>
    <xf numFmtId="0" fontId="30" fillId="0" borderId="1" xfId="0" applyFont="1" applyBorder="1" applyAlignment="1">
      <alignment vertical="center"/>
    </xf>
    <xf numFmtId="166" fontId="30" fillId="0" borderId="1" xfId="2" applyNumberFormat="1" applyFont="1" applyBorder="1" applyAlignment="1">
      <alignment horizontal="right" vertical="center"/>
    </xf>
    <xf numFmtId="0" fontId="24" fillId="0" borderId="1" xfId="0" applyFont="1" applyBorder="1" applyAlignment="1">
      <alignment vertical="center" wrapText="1"/>
    </xf>
    <xf numFmtId="4" fontId="31" fillId="0" borderId="1"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0" fontId="42"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42" fillId="0" borderId="1"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3" fontId="18" fillId="0" borderId="1" xfId="0" applyNumberFormat="1" applyFont="1" applyBorder="1" applyAlignment="1">
      <alignment horizontal="center" vertical="center" wrapText="1"/>
    </xf>
    <xf numFmtId="0" fontId="27" fillId="0" borderId="1" xfId="0" applyFont="1" applyBorder="1" applyAlignment="1">
      <alignment horizontal="left" vertical="center" wrapText="1"/>
    </xf>
    <xf numFmtId="4" fontId="43" fillId="0" borderId="1" xfId="0"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0" fontId="24" fillId="0" borderId="0" xfId="0" applyFont="1" applyAlignment="1">
      <alignment horizontal="right" vertical="center"/>
    </xf>
    <xf numFmtId="0" fontId="32" fillId="2" borderId="1" xfId="0" applyFont="1" applyFill="1" applyBorder="1" applyAlignment="1">
      <alignment vertical="center"/>
    </xf>
    <xf numFmtId="0" fontId="46" fillId="2" borderId="1" xfId="0" applyFont="1" applyFill="1" applyBorder="1" applyAlignment="1">
      <alignment vertical="center"/>
    </xf>
    <xf numFmtId="0" fontId="47" fillId="0" borderId="1" xfId="0" applyFont="1" applyBorder="1" applyAlignment="1">
      <alignment vertical="center"/>
    </xf>
    <xf numFmtId="3" fontId="47" fillId="0" borderId="1" xfId="0" applyNumberFormat="1" applyFont="1" applyBorder="1" applyAlignment="1">
      <alignment horizontal="right" vertical="center"/>
    </xf>
    <xf numFmtId="0" fontId="32" fillId="0" borderId="1" xfId="0" applyFont="1" applyBorder="1" applyAlignment="1">
      <alignment vertical="center"/>
    </xf>
    <xf numFmtId="0" fontId="48" fillId="0" borderId="1" xfId="0" applyFont="1" applyBorder="1" applyAlignment="1">
      <alignment horizontal="right" vertical="center"/>
    </xf>
    <xf numFmtId="0" fontId="47" fillId="0" borderId="1" xfId="0" applyFont="1" applyBorder="1" applyAlignment="1">
      <alignment horizontal="right" vertical="center"/>
    </xf>
    <xf numFmtId="3" fontId="32" fillId="0" borderId="1" xfId="0" applyNumberFormat="1" applyFont="1" applyBorder="1" applyAlignment="1">
      <alignment horizontal="right" vertical="center"/>
    </xf>
    <xf numFmtId="0" fontId="46" fillId="0" borderId="1" xfId="0" applyFont="1" applyBorder="1" applyAlignment="1">
      <alignment horizontal="right" vertical="center"/>
    </xf>
    <xf numFmtId="0" fontId="0" fillId="0" borderId="0" xfId="0" applyAlignment="1">
      <alignment horizontal="right"/>
    </xf>
    <xf numFmtId="0" fontId="15" fillId="0" borderId="0" xfId="0" applyFont="1" applyAlignment="1">
      <alignment horizontal="right"/>
    </xf>
    <xf numFmtId="0" fontId="28" fillId="3"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1" xfId="0" applyFont="1" applyFill="1" applyBorder="1" applyAlignment="1">
      <alignment vertical="center" wrapText="1"/>
    </xf>
    <xf numFmtId="0" fontId="31" fillId="4" borderId="1" xfId="0" applyFont="1" applyFill="1" applyBorder="1" applyAlignment="1">
      <alignment horizontal="right" vertical="center" wrapText="1"/>
    </xf>
    <xf numFmtId="3" fontId="28" fillId="0" borderId="1" xfId="0" applyNumberFormat="1" applyFont="1" applyBorder="1" applyAlignment="1">
      <alignment vertical="center" wrapText="1"/>
    </xf>
    <xf numFmtId="3" fontId="31" fillId="0" borderId="1" xfId="2" applyNumberFormat="1" applyFont="1" applyBorder="1" applyAlignment="1">
      <alignment vertical="center" wrapText="1"/>
    </xf>
    <xf numFmtId="3" fontId="31" fillId="0" borderId="1" xfId="0" applyNumberFormat="1" applyFont="1" applyBorder="1" applyAlignment="1">
      <alignment vertical="center" wrapText="1"/>
    </xf>
    <xf numFmtId="3" fontId="31" fillId="0" borderId="1" xfId="3" applyNumberFormat="1" applyFont="1" applyBorder="1" applyAlignment="1">
      <alignment vertical="center" wrapText="1"/>
    </xf>
    <xf numFmtId="0" fontId="49" fillId="2" borderId="1" xfId="0" applyFont="1" applyFill="1" applyBorder="1" applyAlignment="1">
      <alignment vertical="center"/>
    </xf>
    <xf numFmtId="3" fontId="49" fillId="2" borderId="1" xfId="0" applyNumberFormat="1" applyFont="1" applyFill="1" applyBorder="1" applyAlignment="1">
      <alignment horizontal="right" vertical="center"/>
    </xf>
    <xf numFmtId="0" fontId="50" fillId="0" borderId="1" xfId="0" applyFont="1" applyBorder="1" applyAlignment="1">
      <alignment vertical="center"/>
    </xf>
    <xf numFmtId="0" fontId="52" fillId="0" borderId="1" xfId="0" applyFont="1" applyBorder="1" applyAlignment="1">
      <alignment vertical="center"/>
    </xf>
    <xf numFmtId="3" fontId="52" fillId="0" borderId="1" xfId="0" applyNumberFormat="1" applyFont="1" applyBorder="1" applyAlignment="1">
      <alignment horizontal="right" vertical="center"/>
    </xf>
    <xf numFmtId="0" fontId="51" fillId="0" borderId="1" xfId="0" applyFont="1" applyBorder="1" applyAlignment="1">
      <alignment vertical="center"/>
    </xf>
    <xf numFmtId="3" fontId="51" fillId="0" borderId="1" xfId="0" applyNumberFormat="1" applyFont="1" applyBorder="1" applyAlignment="1">
      <alignment horizontal="right" vertical="center"/>
    </xf>
    <xf numFmtId="3" fontId="51" fillId="0" borderId="1" xfId="0" applyNumberFormat="1" applyFont="1" applyFill="1" applyBorder="1" applyAlignment="1">
      <alignment horizontal="right" vertical="center"/>
    </xf>
    <xf numFmtId="3" fontId="49" fillId="0" borderId="1" xfId="0" applyNumberFormat="1" applyFont="1" applyBorder="1" applyAlignment="1">
      <alignment horizontal="right" vertical="center"/>
    </xf>
    <xf numFmtId="0" fontId="49" fillId="0" borderId="1" xfId="0" applyFont="1" applyBorder="1" applyAlignment="1">
      <alignment vertical="center"/>
    </xf>
    <xf numFmtId="0" fontId="31" fillId="0" borderId="1" xfId="0" applyFont="1" applyFill="1" applyBorder="1" applyAlignment="1">
      <alignment vertical="center" wrapText="1"/>
    </xf>
    <xf numFmtId="0" fontId="31" fillId="0" borderId="1" xfId="0" applyFont="1" applyFill="1" applyBorder="1" applyAlignment="1">
      <alignment horizontal="center" vertical="center" wrapText="1"/>
    </xf>
    <xf numFmtId="3" fontId="9" fillId="0" borderId="1" xfId="0" applyNumberFormat="1" applyFont="1" applyFill="1" applyBorder="1" applyAlignment="1">
      <alignment horizontal="right" vertical="center" wrapText="1"/>
    </xf>
    <xf numFmtId="3" fontId="32" fillId="0" borderId="1" xfId="0" applyNumberFormat="1" applyFont="1" applyBorder="1" applyAlignment="1">
      <alignment horizontal="right" vertical="center"/>
    </xf>
    <xf numFmtId="0" fontId="18" fillId="0" borderId="1" xfId="0" applyFont="1" applyBorder="1" applyAlignment="1">
      <alignment vertical="center"/>
    </xf>
    <xf numFmtId="4" fontId="18" fillId="0" borderId="1" xfId="0" applyNumberFormat="1" applyFont="1" applyBorder="1" applyAlignment="1">
      <alignment horizontal="justify" vertical="center" wrapText="1"/>
    </xf>
    <xf numFmtId="0" fontId="7" fillId="0" borderId="11" xfId="0" applyFont="1" applyBorder="1" applyAlignment="1">
      <alignment horizontal="right" vertical="center" wrapText="1"/>
    </xf>
    <xf numFmtId="3" fontId="3" fillId="0" borderId="18" xfId="0" applyNumberFormat="1" applyFont="1" applyBorder="1" applyAlignment="1">
      <alignment horizontal="right" vertical="center" wrapText="1"/>
    </xf>
    <xf numFmtId="3" fontId="7" fillId="0" borderId="18" xfId="0" applyNumberFormat="1" applyFont="1" applyBorder="1" applyAlignment="1">
      <alignment horizontal="right" vertical="center" wrapText="1"/>
    </xf>
    <xf numFmtId="0" fontId="7" fillId="0" borderId="18" xfId="0" applyFont="1" applyBorder="1" applyAlignment="1">
      <alignment horizontal="right" vertical="center" wrapText="1"/>
    </xf>
    <xf numFmtId="166" fontId="7" fillId="0" borderId="18" xfId="2" applyNumberFormat="1" applyFont="1" applyBorder="1" applyAlignment="1">
      <alignment horizontal="right" vertical="center" wrapText="1"/>
    </xf>
    <xf numFmtId="0" fontId="3" fillId="0" borderId="18" xfId="0" applyFont="1" applyBorder="1" applyAlignment="1">
      <alignment horizontal="right" vertical="center" wrapText="1"/>
    </xf>
    <xf numFmtId="0" fontId="37" fillId="0" borderId="18" xfId="0" applyFont="1" applyBorder="1" applyAlignment="1">
      <alignment vertical="top" wrapText="1"/>
    </xf>
    <xf numFmtId="4" fontId="45" fillId="0" borderId="1" xfId="0" applyNumberFormat="1" applyFont="1" applyFill="1" applyBorder="1" applyAlignment="1">
      <alignment vertical="top" wrapText="1"/>
    </xf>
    <xf numFmtId="3" fontId="45" fillId="0" borderId="1" xfId="0" applyNumberFormat="1" applyFont="1" applyFill="1" applyBorder="1" applyAlignment="1">
      <alignment vertical="top" wrapText="1"/>
    </xf>
    <xf numFmtId="4" fontId="44" fillId="0" borderId="1" xfId="0" applyNumberFormat="1" applyFont="1" applyFill="1" applyBorder="1" applyAlignment="1">
      <alignment horizontal="center" vertical="center" wrapText="1"/>
    </xf>
    <xf numFmtId="166" fontId="28" fillId="0" borderId="0" xfId="0" applyNumberFormat="1" applyFont="1" applyBorder="1" applyAlignment="1">
      <alignment horizontal="right" vertical="center"/>
    </xf>
    <xf numFmtId="3" fontId="26" fillId="0" borderId="1" xfId="0" applyNumberFormat="1" applyFont="1" applyFill="1" applyBorder="1" applyAlignment="1">
      <alignment horizontal="right" vertical="center" wrapText="1"/>
    </xf>
    <xf numFmtId="0" fontId="24" fillId="0" borderId="0" xfId="0" applyFont="1" applyFill="1" applyAlignment="1">
      <alignment horizontal="left" vertical="center"/>
    </xf>
    <xf numFmtId="0" fontId="53" fillId="0" borderId="0" xfId="0" applyFont="1"/>
    <xf numFmtId="0" fontId="54" fillId="0" borderId="0" xfId="0" applyFont="1"/>
    <xf numFmtId="0" fontId="55" fillId="0" borderId="0" xfId="0" applyFont="1" applyAlignment="1">
      <alignment wrapText="1"/>
    </xf>
    <xf numFmtId="3" fontId="11" fillId="0" borderId="1" xfId="0" applyNumberFormat="1" applyFont="1" applyBorder="1" applyAlignment="1">
      <alignment vertical="center" wrapText="1"/>
    </xf>
    <xf numFmtId="4" fontId="45" fillId="0" borderId="1" xfId="0" applyNumberFormat="1" applyFont="1" applyFill="1" applyBorder="1" applyAlignment="1">
      <alignment horizontal="center" vertical="top" wrapText="1"/>
    </xf>
    <xf numFmtId="3" fontId="52" fillId="0" borderId="1" xfId="0" applyNumberFormat="1" applyFont="1" applyFill="1" applyBorder="1" applyAlignment="1">
      <alignment horizontal="right" vertical="center"/>
    </xf>
    <xf numFmtId="0" fontId="61" fillId="0" borderId="0" xfId="0" applyFont="1" applyFill="1" applyAlignment="1">
      <alignment horizontal="justify" vertical="center"/>
    </xf>
    <xf numFmtId="0" fontId="36" fillId="0" borderId="0" xfId="0" applyFont="1" applyFill="1"/>
    <xf numFmtId="0" fontId="59" fillId="0" borderId="1" xfId="0" applyFont="1" applyFill="1" applyBorder="1" applyAlignment="1">
      <alignment horizontal="center" vertical="center"/>
    </xf>
    <xf numFmtId="166" fontId="9" fillId="0" borderId="1" xfId="2" applyNumberFormat="1" applyFont="1" applyFill="1" applyBorder="1" applyAlignment="1">
      <alignment horizontal="right" vertical="center" wrapText="1"/>
    </xf>
    <xf numFmtId="0" fontId="59" fillId="0" borderId="1" xfId="0" applyFont="1" applyFill="1" applyBorder="1" applyAlignment="1">
      <alignment vertical="center"/>
    </xf>
    <xf numFmtId="166" fontId="59" fillId="0" borderId="1" xfId="2" applyNumberFormat="1" applyFont="1" applyFill="1" applyBorder="1" applyAlignment="1">
      <alignment horizontal="right" vertical="center" wrapText="1"/>
    </xf>
    <xf numFmtId="166" fontId="59" fillId="0" borderId="1" xfId="2" applyNumberFormat="1" applyFont="1" applyFill="1" applyBorder="1" applyAlignment="1">
      <alignment horizontal="right" vertical="center"/>
    </xf>
    <xf numFmtId="0" fontId="61" fillId="0" borderId="0" xfId="0" applyFont="1" applyFill="1" applyAlignment="1">
      <alignment vertical="center"/>
    </xf>
    <xf numFmtId="0" fontId="10" fillId="0" borderId="1" xfId="0" applyFont="1" applyFill="1" applyBorder="1" applyAlignment="1">
      <alignment horizontal="justify" vertical="center" wrapText="1"/>
    </xf>
    <xf numFmtId="3" fontId="10" fillId="0" borderId="1" xfId="0" applyNumberFormat="1" applyFont="1" applyFill="1" applyBorder="1" applyAlignment="1">
      <alignment horizontal="right" vertical="center" wrapText="1"/>
    </xf>
    <xf numFmtId="0" fontId="61" fillId="0" borderId="1" xfId="0" applyFont="1" applyFill="1" applyBorder="1" applyAlignment="1">
      <alignment horizontal="justify" vertical="center" wrapText="1"/>
    </xf>
    <xf numFmtId="3" fontId="61" fillId="0" borderId="1" xfId="0" applyNumberFormat="1" applyFont="1" applyFill="1" applyBorder="1" applyAlignment="1">
      <alignment horizontal="righ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right" vertical="center" wrapText="1"/>
    </xf>
    <xf numFmtId="0" fontId="61" fillId="0" borderId="1" xfId="0" applyFont="1" applyFill="1" applyBorder="1" applyAlignment="1">
      <alignment horizontal="right" vertical="center" wrapText="1"/>
    </xf>
    <xf numFmtId="0" fontId="24" fillId="0" borderId="0" xfId="0" applyFont="1" applyAlignment="1">
      <alignment horizontal="center" vertical="center"/>
    </xf>
    <xf numFmtId="0" fontId="65" fillId="5" borderId="0" xfId="0" applyFont="1" applyFill="1" applyAlignment="1">
      <alignment vertical="center"/>
    </xf>
    <xf numFmtId="0" fontId="66" fillId="0" borderId="0" xfId="0" applyFont="1"/>
    <xf numFmtId="0" fontId="22" fillId="0" borderId="0" xfId="0" applyFont="1"/>
    <xf numFmtId="0" fontId="64" fillId="0" borderId="0" xfId="0" applyFont="1" applyAlignment="1">
      <alignment horizontal="left" wrapText="1"/>
    </xf>
    <xf numFmtId="0" fontId="68" fillId="0" borderId="0" xfId="0" applyFont="1" applyAlignment="1">
      <alignment horizontal="justify" vertical="center"/>
    </xf>
    <xf numFmtId="0" fontId="70" fillId="0" borderId="0" xfId="0" applyFont="1"/>
    <xf numFmtId="0" fontId="68" fillId="0" borderId="0" xfId="0" applyFont="1" applyFill="1" applyAlignment="1">
      <alignment horizontal="justify" vertical="center"/>
    </xf>
    <xf numFmtId="0" fontId="70" fillId="0" borderId="0" xfId="0" applyFont="1" applyFill="1" applyAlignment="1">
      <alignment horizontal="justify" vertical="center"/>
    </xf>
    <xf numFmtId="0" fontId="70" fillId="0" borderId="0" xfId="0" applyFont="1" applyAlignment="1">
      <alignment horizontal="justify" vertical="center"/>
    </xf>
    <xf numFmtId="0" fontId="70" fillId="0" borderId="0" xfId="0" applyFont="1" applyAlignment="1">
      <alignment horizontal="left" vertical="center"/>
    </xf>
    <xf numFmtId="0" fontId="68" fillId="0" borderId="0" xfId="0" applyFont="1" applyAlignment="1">
      <alignment horizontal="left" vertical="center"/>
    </xf>
    <xf numFmtId="0" fontId="68" fillId="0" borderId="0" xfId="0" applyFont="1"/>
    <xf numFmtId="0" fontId="73" fillId="0" borderId="0" xfId="0" applyFont="1"/>
    <xf numFmtId="0" fontId="68" fillId="0" borderId="0" xfId="0" applyFont="1" applyAlignment="1">
      <alignment vertical="center"/>
    </xf>
    <xf numFmtId="0" fontId="74" fillId="0" borderId="0" xfId="0" applyFont="1" applyFill="1" applyAlignment="1">
      <alignment vertical="center"/>
    </xf>
    <xf numFmtId="0" fontId="68" fillId="0" borderId="0" xfId="0" applyFont="1" applyFill="1" applyAlignment="1">
      <alignment vertical="center"/>
    </xf>
    <xf numFmtId="3" fontId="70" fillId="0" borderId="0" xfId="0" applyNumberFormat="1" applyFont="1"/>
    <xf numFmtId="0" fontId="70" fillId="0" borderId="0" xfId="0" applyFont="1" applyFill="1"/>
    <xf numFmtId="0" fontId="68" fillId="0" borderId="0" xfId="0" applyFont="1" applyFill="1" applyAlignment="1">
      <alignment horizontal="left" vertical="center"/>
    </xf>
    <xf numFmtId="0" fontId="70" fillId="0" borderId="0" xfId="0" applyFont="1" applyFill="1" applyBorder="1"/>
    <xf numFmtId="0" fontId="68" fillId="0" borderId="0" xfId="0" applyFont="1" applyFill="1" applyBorder="1" applyAlignment="1">
      <alignment horizontal="left" wrapText="1"/>
    </xf>
    <xf numFmtId="166" fontId="70" fillId="0" borderId="3" xfId="2" applyNumberFormat="1" applyFont="1" applyFill="1" applyBorder="1" applyAlignment="1">
      <alignment horizontal="right" vertical="center"/>
    </xf>
    <xf numFmtId="166" fontId="76" fillId="0" borderId="0" xfId="2" applyNumberFormat="1" applyFont="1" applyFill="1" applyBorder="1" applyAlignment="1">
      <alignment horizontal="right" vertical="center"/>
    </xf>
    <xf numFmtId="49" fontId="70" fillId="0" borderId="10" xfId="0" applyNumberFormat="1" applyFont="1" applyFill="1" applyBorder="1" applyAlignment="1">
      <alignment horizontal="left" vertical="center" indent="5"/>
    </xf>
    <xf numFmtId="0" fontId="74" fillId="0" borderId="0" xfId="0" applyFont="1" applyFill="1" applyAlignment="1">
      <alignment horizontal="justify" vertical="center"/>
    </xf>
    <xf numFmtId="0" fontId="56" fillId="0" borderId="0" xfId="0" applyFont="1" applyAlignment="1">
      <alignment vertical="center"/>
    </xf>
    <xf numFmtId="0" fontId="68" fillId="5" borderId="0" xfId="0" applyFont="1" applyFill="1" applyAlignment="1">
      <alignment horizontal="left" vertical="center" indent="4"/>
    </xf>
    <xf numFmtId="0" fontId="68" fillId="5" borderId="0" xfId="0" applyFont="1" applyFill="1"/>
    <xf numFmtId="3" fontId="68" fillId="5" borderId="0" xfId="0" applyNumberFormat="1" applyFont="1" applyFill="1"/>
    <xf numFmtId="0" fontId="0" fillId="0" borderId="1" xfId="0" applyBorder="1"/>
    <xf numFmtId="168" fontId="66" fillId="0" borderId="1" xfId="0" applyNumberFormat="1" applyFont="1" applyBorder="1" applyAlignment="1">
      <alignment horizontal="right" vertical="center"/>
    </xf>
    <xf numFmtId="0" fontId="65" fillId="0" borderId="0" xfId="0" applyFont="1" applyAlignment="1">
      <alignment vertical="center"/>
    </xf>
    <xf numFmtId="164" fontId="78" fillId="0" borderId="1" xfId="3" applyFont="1" applyBorder="1"/>
    <xf numFmtId="10" fontId="78" fillId="0" borderId="1" xfId="7" applyNumberFormat="1" applyFont="1" applyBorder="1" applyAlignment="1">
      <alignment horizontal="center"/>
    </xf>
    <xf numFmtId="0" fontId="75" fillId="0" borderId="0" xfId="0" applyFont="1"/>
    <xf numFmtId="0" fontId="26" fillId="0" borderId="1" xfId="0" applyFont="1" applyBorder="1" applyAlignment="1">
      <alignment vertical="center" wrapText="1"/>
    </xf>
    <xf numFmtId="3" fontId="26" fillId="0" borderId="1" xfId="0" applyNumberFormat="1" applyFont="1" applyFill="1" applyBorder="1" applyAlignment="1">
      <alignment horizontal="right" vertical="center" wrapText="1"/>
    </xf>
    <xf numFmtId="3" fontId="32" fillId="0" borderId="1" xfId="0" applyNumberFormat="1" applyFont="1" applyBorder="1" applyAlignment="1">
      <alignment horizontal="right" vertical="center"/>
    </xf>
    <xf numFmtId="0" fontId="68" fillId="0" borderId="0" xfId="0" applyFont="1" applyFill="1" applyBorder="1" applyAlignment="1">
      <alignment horizontal="left" wrapText="1"/>
    </xf>
    <xf numFmtId="0" fontId="0" fillId="0" borderId="0" xfId="0" applyAlignment="1">
      <alignment horizontal="center"/>
    </xf>
    <xf numFmtId="169" fontId="0" fillId="0" borderId="1" xfId="0" applyNumberFormat="1" applyBorder="1"/>
    <xf numFmtId="0" fontId="84" fillId="7" borderId="1" xfId="0" applyFont="1" applyFill="1" applyBorder="1" applyAlignment="1">
      <alignment horizontal="center" vertical="center" wrapText="1"/>
    </xf>
    <xf numFmtId="0" fontId="85" fillId="7" borderId="1" xfId="0" applyFont="1" applyFill="1" applyBorder="1" applyAlignment="1">
      <alignment horizontal="center" vertical="center" wrapText="1"/>
    </xf>
    <xf numFmtId="0" fontId="86" fillId="7" borderId="1" xfId="0" applyFont="1" applyFill="1" applyBorder="1" applyAlignment="1">
      <alignment horizontal="center" vertical="center" wrapText="1"/>
    </xf>
    <xf numFmtId="0" fontId="87" fillId="7" borderId="1" xfId="0" applyFont="1" applyFill="1" applyBorder="1" applyAlignment="1">
      <alignment horizontal="center" vertical="center" wrapText="1"/>
    </xf>
    <xf numFmtId="0" fontId="87" fillId="7" borderId="1" xfId="0" applyFont="1" applyFill="1" applyBorder="1" applyAlignment="1">
      <alignment horizontal="center" vertical="center"/>
    </xf>
    <xf numFmtId="0" fontId="87" fillId="7" borderId="1" xfId="0" applyFont="1" applyFill="1" applyBorder="1" applyAlignment="1">
      <alignment horizontal="center" vertical="center" wrapText="1"/>
    </xf>
    <xf numFmtId="0" fontId="87" fillId="7" borderId="1" xfId="0" applyFont="1" applyFill="1" applyBorder="1" applyAlignment="1">
      <alignment vertical="center" wrapText="1"/>
    </xf>
    <xf numFmtId="0" fontId="87" fillId="7" borderId="11" xfId="0" applyFont="1" applyFill="1" applyBorder="1" applyAlignment="1">
      <alignment horizontal="center" vertical="center"/>
    </xf>
    <xf numFmtId="0" fontId="87" fillId="7" borderId="12" xfId="0" applyFont="1" applyFill="1" applyBorder="1" applyAlignment="1">
      <alignment horizontal="center" vertical="center"/>
    </xf>
    <xf numFmtId="0" fontId="87" fillId="8" borderId="1" xfId="0" applyFont="1" applyFill="1" applyBorder="1" applyAlignment="1">
      <alignment horizontal="center" vertical="center" wrapText="1"/>
    </xf>
    <xf numFmtId="0" fontId="85" fillId="7" borderId="1" xfId="0" applyFont="1" applyFill="1" applyBorder="1" applyAlignment="1">
      <alignment horizontal="center" vertical="center"/>
    </xf>
    <xf numFmtId="0" fontId="85" fillId="7" borderId="1" xfId="0" applyFont="1" applyFill="1" applyBorder="1" applyAlignment="1">
      <alignment horizontal="center" vertical="center"/>
    </xf>
    <xf numFmtId="3" fontId="87" fillId="7" borderId="1" xfId="0" applyNumberFormat="1" applyFont="1" applyFill="1" applyBorder="1" applyAlignment="1">
      <alignment horizontal="right" vertical="center" wrapText="1"/>
    </xf>
    <xf numFmtId="0" fontId="90" fillId="7" borderId="1" xfId="0" applyFont="1" applyFill="1" applyBorder="1" applyAlignment="1">
      <alignment horizontal="center" vertical="center" wrapText="1"/>
    </xf>
    <xf numFmtId="0" fontId="25" fillId="0" borderId="0" xfId="0" applyFont="1" applyAlignment="1">
      <alignment horizontal="center" vertical="center"/>
    </xf>
    <xf numFmtId="0" fontId="24" fillId="0" borderId="0" xfId="0" applyFont="1" applyAlignment="1">
      <alignment horizontal="justify" vertical="center"/>
    </xf>
    <xf numFmtId="0" fontId="26" fillId="0" borderId="0" xfId="0" applyFont="1" applyFill="1" applyAlignment="1">
      <alignment horizontal="justify" vertical="center"/>
    </xf>
    <xf numFmtId="0" fontId="87" fillId="7" borderId="1" xfId="0" applyFont="1" applyFill="1" applyBorder="1" applyAlignment="1">
      <alignment vertical="center"/>
    </xf>
    <xf numFmtId="0" fontId="92" fillId="7" borderId="1" xfId="0" applyFont="1" applyFill="1" applyBorder="1" applyAlignment="1">
      <alignment horizontal="center" vertical="center" wrapText="1"/>
    </xf>
    <xf numFmtId="0" fontId="92" fillId="7" borderId="1" xfId="0" applyFont="1" applyFill="1" applyBorder="1" applyAlignment="1">
      <alignment vertical="center"/>
    </xf>
    <xf numFmtId="0" fontId="90" fillId="7" borderId="1" xfId="0" applyFont="1" applyFill="1" applyBorder="1" applyAlignment="1">
      <alignment horizontal="center" vertical="center"/>
    </xf>
    <xf numFmtId="0" fontId="16" fillId="0" borderId="0" xfId="0" applyFont="1" applyAlignment="1">
      <alignment vertical="center"/>
    </xf>
    <xf numFmtId="0" fontId="95" fillId="7" borderId="0" xfId="0" applyFont="1" applyFill="1" applyAlignment="1">
      <alignment horizontal="center" vertical="center"/>
    </xf>
    <xf numFmtId="0" fontId="95" fillId="7" borderId="0" xfId="0" applyFont="1" applyFill="1" applyAlignment="1">
      <alignment horizontal="center" vertical="center" wrapText="1"/>
    </xf>
    <xf numFmtId="0" fontId="0" fillId="5" borderId="0" xfId="0" applyFill="1" applyAlignment="1">
      <alignment horizontal="center"/>
    </xf>
    <xf numFmtId="1" fontId="65" fillId="5" borderId="0" xfId="0" applyNumberFormat="1" applyFont="1" applyFill="1" applyAlignment="1">
      <alignment vertical="center"/>
    </xf>
    <xf numFmtId="1" fontId="0" fillId="0" borderId="0" xfId="0" applyNumberFormat="1"/>
    <xf numFmtId="1" fontId="65" fillId="0" borderId="0" xfId="0" applyNumberFormat="1" applyFont="1" applyAlignment="1">
      <alignment horizontal="left"/>
    </xf>
    <xf numFmtId="1" fontId="66" fillId="0" borderId="0" xfId="0" applyNumberFormat="1" applyFont="1"/>
    <xf numFmtId="1" fontId="66" fillId="0" borderId="0" xfId="0" applyNumberFormat="1" applyFont="1" applyAlignment="1">
      <alignment horizontal="left" wrapText="1"/>
    </xf>
    <xf numFmtId="1" fontId="22" fillId="0" borderId="0" xfId="0" applyNumberFormat="1" applyFont="1"/>
    <xf numFmtId="1" fontId="95" fillId="7" borderId="0" xfId="0" applyNumberFormat="1" applyFont="1" applyFill="1" applyAlignment="1">
      <alignment horizontal="center" vertical="center"/>
    </xf>
    <xf numFmtId="1" fontId="78" fillId="0" borderId="1" xfId="0" applyNumberFormat="1" applyFont="1" applyBorder="1" applyAlignment="1">
      <alignment horizontal="center"/>
    </xf>
    <xf numFmtId="1" fontId="78" fillId="0" borderId="1" xfId="0" applyNumberFormat="1" applyFont="1" applyBorder="1"/>
    <xf numFmtId="0" fontId="96" fillId="0" borderId="1" xfId="0" applyFont="1" applyBorder="1" applyAlignment="1">
      <alignment horizontal="center"/>
    </xf>
    <xf numFmtId="0" fontId="97" fillId="0" borderId="1" xfId="0" applyFont="1" applyBorder="1" applyAlignment="1">
      <alignment horizontal="center" vertical="center"/>
    </xf>
    <xf numFmtId="0" fontId="96" fillId="0" borderId="6" xfId="0" applyFont="1" applyBorder="1" applyAlignment="1">
      <alignment horizontal="center"/>
    </xf>
    <xf numFmtId="1" fontId="78" fillId="0" borderId="6" xfId="0" applyNumberFormat="1" applyFont="1" applyBorder="1"/>
    <xf numFmtId="164" fontId="78" fillId="0" borderId="6" xfId="3" applyFont="1" applyBorder="1"/>
    <xf numFmtId="10" fontId="78" fillId="0" borderId="6" xfId="7" applyNumberFormat="1" applyFont="1" applyBorder="1" applyAlignment="1">
      <alignment horizontal="center"/>
    </xf>
    <xf numFmtId="164" fontId="79" fillId="4" borderId="33" xfId="0" applyNumberFormat="1" applyFont="1" applyFill="1" applyBorder="1"/>
    <xf numFmtId="164" fontId="79" fillId="4" borderId="34" xfId="0" applyNumberFormat="1" applyFont="1" applyFill="1" applyBorder="1"/>
    <xf numFmtId="10" fontId="79" fillId="4" borderId="35" xfId="0" applyNumberFormat="1" applyFont="1" applyFill="1" applyBorder="1" applyAlignment="1">
      <alignment horizontal="center"/>
    </xf>
    <xf numFmtId="0" fontId="35" fillId="0" borderId="0" xfId="0" applyFont="1" applyFill="1"/>
    <xf numFmtId="0" fontId="9" fillId="0" borderId="1" xfId="0" applyFont="1" applyFill="1" applyBorder="1" applyAlignment="1">
      <alignment horizontal="left" vertical="center"/>
    </xf>
    <xf numFmtId="0" fontId="9" fillId="0" borderId="1" xfId="0" applyFont="1" applyFill="1" applyBorder="1" applyAlignment="1">
      <alignment horizontal="center" vertical="center"/>
    </xf>
    <xf numFmtId="3" fontId="9" fillId="0" borderId="1" xfId="0" applyNumberFormat="1" applyFont="1" applyFill="1" applyBorder="1" applyAlignment="1">
      <alignment horizontal="center" vertical="center"/>
    </xf>
    <xf numFmtId="3" fontId="59" fillId="0" borderId="1" xfId="0" applyNumberFormat="1" applyFont="1" applyFill="1" applyBorder="1" applyAlignment="1">
      <alignment horizontal="center" vertical="center"/>
    </xf>
    <xf numFmtId="164" fontId="67" fillId="0" borderId="1" xfId="3" applyFont="1" applyFill="1" applyBorder="1" applyAlignment="1">
      <alignment horizontal="right"/>
    </xf>
    <xf numFmtId="0" fontId="99" fillId="7" borderId="1" xfId="0" applyFont="1" applyFill="1" applyBorder="1" applyAlignment="1">
      <alignment horizontal="center"/>
    </xf>
    <xf numFmtId="0" fontId="24" fillId="0" borderId="0" xfId="0" applyFont="1" applyBorder="1" applyAlignment="1">
      <alignment vertical="center"/>
    </xf>
    <xf numFmtId="166" fontId="24" fillId="0" borderId="0" xfId="2" applyNumberFormat="1" applyFont="1" applyBorder="1" applyAlignment="1">
      <alignment horizontal="right" vertical="center"/>
    </xf>
    <xf numFmtId="166" fontId="24" fillId="0" borderId="0" xfId="2" applyNumberFormat="1" applyFont="1" applyFill="1" applyBorder="1" applyAlignment="1">
      <alignment horizontal="right" vertical="center"/>
    </xf>
    <xf numFmtId="0" fontId="87" fillId="0" borderId="0" xfId="0" applyFont="1" applyFill="1" applyBorder="1" applyAlignment="1">
      <alignment horizontal="center" vertical="center"/>
    </xf>
    <xf numFmtId="164" fontId="9" fillId="0" borderId="1" xfId="3" applyFont="1" applyFill="1" applyBorder="1" applyAlignment="1">
      <alignment horizontal="center" vertical="center"/>
    </xf>
    <xf numFmtId="0" fontId="87" fillId="7" borderId="22" xfId="0" applyFont="1" applyFill="1" applyBorder="1" applyAlignment="1">
      <alignment horizontal="center" vertical="center"/>
    </xf>
    <xf numFmtId="0" fontId="87" fillId="7" borderId="23" xfId="0" applyFont="1" applyFill="1" applyBorder="1" applyAlignment="1">
      <alignment horizontal="center" vertical="center"/>
    </xf>
    <xf numFmtId="0" fontId="87" fillId="7" borderId="21" xfId="0" applyFont="1" applyFill="1" applyBorder="1" applyAlignment="1">
      <alignment horizontal="center" vertical="center"/>
    </xf>
    <xf numFmtId="0" fontId="9" fillId="0" borderId="4" xfId="0" applyFont="1" applyFill="1" applyBorder="1" applyAlignment="1">
      <alignment horizontal="left" vertical="center"/>
    </xf>
    <xf numFmtId="164" fontId="59" fillId="0" borderId="5" xfId="3" applyFont="1" applyFill="1" applyBorder="1" applyAlignment="1">
      <alignment horizontal="right" vertical="center"/>
    </xf>
    <xf numFmtId="0" fontId="87" fillId="0" borderId="7" xfId="0" applyFont="1" applyFill="1" applyBorder="1" applyAlignment="1">
      <alignment horizontal="center" vertical="center"/>
    </xf>
    <xf numFmtId="164" fontId="59" fillId="0" borderId="8" xfId="0" applyNumberFormat="1" applyFont="1" applyFill="1" applyBorder="1" applyAlignment="1">
      <alignment horizontal="center" vertical="center"/>
    </xf>
    <xf numFmtId="164" fontId="59" fillId="0" borderId="9" xfId="0" applyNumberFormat="1" applyFont="1" applyFill="1" applyBorder="1" applyAlignment="1">
      <alignment horizontal="center" vertical="center"/>
    </xf>
    <xf numFmtId="164" fontId="9" fillId="0" borderId="1" xfId="3" applyFont="1" applyFill="1" applyBorder="1" applyAlignment="1">
      <alignment horizontal="right" vertical="center"/>
    </xf>
    <xf numFmtId="166" fontId="7" fillId="0" borderId="18" xfId="0" applyNumberFormat="1" applyFont="1" applyBorder="1" applyAlignment="1">
      <alignment horizontal="right" vertical="center" wrapText="1"/>
    </xf>
    <xf numFmtId="0" fontId="0" fillId="0" borderId="0" xfId="0" applyAlignment="1">
      <alignment wrapText="1"/>
    </xf>
    <xf numFmtId="3" fontId="0" fillId="0" borderId="0" xfId="0" applyNumberFormat="1" applyAlignment="1">
      <alignment wrapText="1"/>
    </xf>
    <xf numFmtId="0" fontId="28" fillId="0" borderId="0" xfId="0" applyFont="1" applyAlignment="1">
      <alignment horizontal="justify" vertical="center"/>
    </xf>
    <xf numFmtId="0" fontId="31" fillId="0" borderId="0" xfId="0" applyFont="1" applyAlignment="1">
      <alignment horizontal="justify" vertical="center"/>
    </xf>
    <xf numFmtId="49" fontId="31" fillId="0" borderId="19" xfId="0" applyNumberFormat="1" applyFont="1" applyBorder="1" applyAlignment="1">
      <alignment vertical="center" wrapText="1"/>
    </xf>
    <xf numFmtId="166" fontId="59" fillId="0" borderId="17" xfId="2" applyNumberFormat="1" applyFont="1" applyBorder="1" applyAlignment="1">
      <alignment horizontal="right" vertical="center" wrapText="1"/>
    </xf>
    <xf numFmtId="166" fontId="31" fillId="0" borderId="17" xfId="2" applyNumberFormat="1" applyFont="1" applyBorder="1" applyAlignment="1">
      <alignment horizontal="right" vertical="center" wrapText="1"/>
    </xf>
    <xf numFmtId="166" fontId="28" fillId="0" borderId="17" xfId="2" applyNumberFormat="1" applyFont="1" applyBorder="1" applyAlignment="1">
      <alignment horizontal="right" vertical="center" wrapText="1"/>
    </xf>
    <xf numFmtId="0" fontId="28" fillId="0" borderId="19" xfId="0" applyFont="1" applyBorder="1" applyAlignment="1">
      <alignment vertical="center" wrapText="1"/>
    </xf>
    <xf numFmtId="0" fontId="28" fillId="0" borderId="0" xfId="0" applyFont="1" applyBorder="1" applyAlignment="1">
      <alignment vertical="center" wrapText="1"/>
    </xf>
    <xf numFmtId="166" fontId="28" fillId="0" borderId="0" xfId="2" applyNumberFormat="1" applyFont="1" applyBorder="1" applyAlignment="1">
      <alignment horizontal="right" vertical="center" wrapText="1"/>
    </xf>
    <xf numFmtId="166" fontId="28" fillId="0" borderId="17" xfId="2" applyNumberFormat="1" applyFont="1" applyFill="1" applyBorder="1" applyAlignment="1">
      <alignment horizontal="right" vertical="center" wrapText="1"/>
    </xf>
    <xf numFmtId="166" fontId="28" fillId="0" borderId="0" xfId="2" applyNumberFormat="1" applyFont="1" applyFill="1" applyBorder="1" applyAlignment="1">
      <alignment horizontal="right" vertical="center" wrapText="1"/>
    </xf>
    <xf numFmtId="0" fontId="87" fillId="7" borderId="12" xfId="0" applyFont="1" applyFill="1" applyBorder="1" applyAlignment="1">
      <alignment horizontal="center" vertical="center" wrapText="1"/>
    </xf>
    <xf numFmtId="0" fontId="87" fillId="7" borderId="12" xfId="0" applyFont="1" applyFill="1" applyBorder="1" applyAlignment="1">
      <alignment vertical="center" wrapText="1"/>
    </xf>
    <xf numFmtId="0" fontId="87" fillId="7" borderId="17" xfId="0" applyFont="1" applyFill="1" applyBorder="1" applyAlignment="1">
      <alignment horizontal="center" vertical="center" wrapText="1"/>
    </xf>
    <xf numFmtId="0" fontId="87" fillId="7" borderId="17" xfId="0" applyFont="1" applyFill="1" applyBorder="1" applyAlignment="1">
      <alignment vertical="center" wrapText="1"/>
    </xf>
    <xf numFmtId="3" fontId="46" fillId="0" borderId="1" xfId="0" applyNumberFormat="1" applyFont="1" applyBorder="1" applyAlignment="1">
      <alignment horizontal="right" vertical="center"/>
    </xf>
    <xf numFmtId="3" fontId="46" fillId="2" borderId="1" xfId="0" applyNumberFormat="1" applyFont="1" applyFill="1" applyBorder="1" applyAlignment="1">
      <alignment vertical="center"/>
    </xf>
    <xf numFmtId="164" fontId="45" fillId="0" borderId="1" xfId="3" applyFont="1" applyFill="1" applyBorder="1" applyAlignment="1">
      <alignment vertical="top" wrapText="1"/>
    </xf>
    <xf numFmtId="0" fontId="27" fillId="0" borderId="1" xfId="0" applyFont="1" applyFill="1" applyBorder="1" applyAlignment="1">
      <alignment vertical="center" wrapText="1"/>
    </xf>
    <xf numFmtId="164" fontId="59" fillId="0" borderId="0" xfId="0" applyNumberFormat="1" applyFont="1" applyFill="1" applyBorder="1" applyAlignment="1">
      <alignment horizontal="center" vertical="center"/>
    </xf>
    <xf numFmtId="0" fontId="31" fillId="0" borderId="4" xfId="0" applyFont="1" applyBorder="1" applyAlignment="1">
      <alignment vertical="center"/>
    </xf>
    <xf numFmtId="164" fontId="7" fillId="0" borderId="18" xfId="0" applyNumberFormat="1" applyFont="1" applyBorder="1" applyAlignment="1">
      <alignment horizontal="right" vertical="center" wrapText="1"/>
    </xf>
    <xf numFmtId="49" fontId="9" fillId="0" borderId="4" xfId="0" applyNumberFormat="1" applyFont="1" applyFill="1" applyBorder="1" applyAlignment="1">
      <alignment horizontal="left" vertical="center"/>
    </xf>
    <xf numFmtId="3" fontId="17" fillId="0" borderId="0" xfId="0" applyNumberFormat="1" applyFont="1" applyAlignment="1">
      <alignment vertical="center" wrapText="1"/>
    </xf>
    <xf numFmtId="3" fontId="49" fillId="0" borderId="1" xfId="0" applyNumberFormat="1" applyFont="1" applyFill="1" applyBorder="1" applyAlignment="1">
      <alignment horizontal="right" vertical="center"/>
    </xf>
    <xf numFmtId="0" fontId="26" fillId="0" borderId="1" xfId="0" applyFont="1" applyBorder="1" applyAlignment="1">
      <alignment horizontal="justify" vertical="center"/>
    </xf>
    <xf numFmtId="3" fontId="31" fillId="0" borderId="1" xfId="0" applyNumberFormat="1" applyFont="1" applyFill="1" applyBorder="1" applyAlignment="1">
      <alignment horizontal="right" vertical="center" wrapText="1"/>
    </xf>
    <xf numFmtId="0" fontId="28" fillId="0" borderId="1" xfId="0" applyFont="1" applyBorder="1" applyAlignment="1">
      <alignment horizontal="justify" vertical="center" wrapText="1"/>
    </xf>
    <xf numFmtId="3" fontId="28" fillId="0" borderId="1" xfId="0" applyNumberFormat="1" applyFont="1" applyFill="1" applyBorder="1" applyAlignment="1">
      <alignment horizontal="right" vertical="center" wrapText="1"/>
    </xf>
    <xf numFmtId="0" fontId="31" fillId="0" borderId="1" xfId="0" applyFont="1" applyBorder="1" applyAlignment="1">
      <alignment horizontal="left" vertical="center" wrapText="1"/>
    </xf>
    <xf numFmtId="0" fontId="87" fillId="7" borderId="1" xfId="0" applyFont="1" applyFill="1" applyBorder="1" applyAlignment="1">
      <alignment horizontal="center" vertical="center" wrapText="1"/>
    </xf>
    <xf numFmtId="3" fontId="32" fillId="0" borderId="1" xfId="0" applyNumberFormat="1" applyFont="1" applyBorder="1" applyAlignment="1">
      <alignment horizontal="right" vertical="center"/>
    </xf>
    <xf numFmtId="3" fontId="28" fillId="0" borderId="1" xfId="2" applyNumberFormat="1" applyFont="1" applyBorder="1" applyAlignment="1">
      <alignment vertical="center" wrapText="1"/>
    </xf>
    <xf numFmtId="3" fontId="28" fillId="0" borderId="1" xfId="2" applyNumberFormat="1" applyFont="1" applyBorder="1" applyAlignment="1">
      <alignment horizontal="right" vertical="center" wrapText="1"/>
    </xf>
    <xf numFmtId="3" fontId="26" fillId="0" borderId="1" xfId="3" applyNumberFormat="1" applyFont="1" applyBorder="1" applyAlignment="1">
      <alignment horizontal="right" vertical="center" wrapText="1"/>
    </xf>
    <xf numFmtId="0" fontId="0" fillId="0" borderId="0" xfId="0" applyAlignment="1">
      <alignment horizontal="left" vertical="top" wrapText="1"/>
    </xf>
    <xf numFmtId="0" fontId="40" fillId="0" borderId="0" xfId="0" applyFont="1"/>
    <xf numFmtId="0" fontId="20" fillId="0" borderId="11" xfId="0" applyFont="1" applyBorder="1" applyAlignment="1">
      <alignment vertical="center" wrapText="1"/>
    </xf>
    <xf numFmtId="3" fontId="7" fillId="0" borderId="11" xfId="0" applyNumberFormat="1" applyFont="1" applyBorder="1" applyAlignment="1">
      <alignment horizontal="right" vertical="center" wrapText="1"/>
    </xf>
    <xf numFmtId="0" fontId="3" fillId="0" borderId="11" xfId="0" applyFont="1" applyBorder="1" applyAlignment="1">
      <alignment vertical="center" wrapText="1"/>
    </xf>
    <xf numFmtId="0" fontId="20" fillId="0" borderId="18" xfId="0" applyFont="1" applyBorder="1" applyAlignment="1">
      <alignment vertical="center" wrapText="1"/>
    </xf>
    <xf numFmtId="3" fontId="3" fillId="0" borderId="18" xfId="0" applyNumberFormat="1" applyFont="1" applyFill="1" applyBorder="1" applyAlignment="1">
      <alignment horizontal="right" vertical="center" wrapText="1"/>
    </xf>
    <xf numFmtId="0" fontId="3" fillId="0" borderId="18" xfId="0" applyFont="1" applyBorder="1" applyAlignment="1">
      <alignment vertical="center" wrapText="1"/>
    </xf>
    <xf numFmtId="0" fontId="21" fillId="0" borderId="18" xfId="0" applyFont="1" applyBorder="1" applyAlignment="1">
      <alignment vertical="center" wrapText="1"/>
    </xf>
    <xf numFmtId="0" fontId="7" fillId="0" borderId="18" xfId="0" applyFont="1" applyBorder="1" applyAlignment="1">
      <alignment vertical="center" wrapText="1"/>
    </xf>
    <xf numFmtId="3" fontId="7" fillId="0" borderId="18" xfId="0" applyNumberFormat="1" applyFont="1" applyBorder="1" applyAlignment="1">
      <alignment vertical="center" wrapText="1"/>
    </xf>
    <xf numFmtId="0" fontId="22" fillId="0" borderId="18" xfId="0" applyFont="1" applyBorder="1" applyAlignment="1">
      <alignment vertical="top" wrapText="1"/>
    </xf>
    <xf numFmtId="3" fontId="37" fillId="0" borderId="18" xfId="0" applyNumberFormat="1" applyFont="1" applyBorder="1" applyAlignment="1">
      <alignment vertical="top" wrapText="1"/>
    </xf>
    <xf numFmtId="0" fontId="21" fillId="0" borderId="18" xfId="0" applyFont="1" applyBorder="1" applyAlignment="1">
      <alignment vertical="center"/>
    </xf>
    <xf numFmtId="3" fontId="51" fillId="0" borderId="1" xfId="3" applyNumberFormat="1" applyFont="1" applyFill="1" applyBorder="1" applyAlignment="1">
      <alignment horizontal="right" vertical="center"/>
    </xf>
    <xf numFmtId="3" fontId="59" fillId="0" borderId="1" xfId="0" applyNumberFormat="1" applyFont="1" applyBorder="1" applyAlignment="1">
      <alignment horizontal="right" vertical="center"/>
    </xf>
    <xf numFmtId="0" fontId="103" fillId="0" borderId="0" xfId="0" applyFont="1" applyAlignment="1">
      <alignment vertical="center"/>
    </xf>
    <xf numFmtId="0" fontId="30" fillId="0" borderId="0" xfId="0" applyFont="1" applyBorder="1" applyAlignment="1">
      <alignment vertical="center"/>
    </xf>
    <xf numFmtId="166" fontId="30" fillId="0" borderId="0" xfId="2" applyNumberFormat="1" applyFont="1" applyBorder="1" applyAlignment="1">
      <alignment horizontal="right" vertical="center"/>
    </xf>
    <xf numFmtId="0" fontId="66" fillId="0" borderId="0" xfId="0" applyFont="1" applyAlignment="1">
      <alignment vertical="center"/>
    </xf>
    <xf numFmtId="0" fontId="66" fillId="0" borderId="0" xfId="0" applyFont="1" applyAlignment="1">
      <alignment horizontal="left" vertical="center"/>
    </xf>
    <xf numFmtId="3" fontId="3" fillId="9" borderId="18" xfId="0" applyNumberFormat="1" applyFont="1" applyFill="1" applyBorder="1" applyAlignment="1">
      <alignment horizontal="right" vertical="center" wrapText="1"/>
    </xf>
    <xf numFmtId="0" fontId="20" fillId="9" borderId="18" xfId="0" applyFont="1" applyFill="1" applyBorder="1" applyAlignment="1">
      <alignment vertical="center" wrapText="1"/>
    </xf>
    <xf numFmtId="0" fontId="21" fillId="9" borderId="18" xfId="0" applyFont="1" applyFill="1" applyBorder="1" applyAlignment="1">
      <alignment vertical="center" wrapText="1"/>
    </xf>
    <xf numFmtId="0" fontId="102" fillId="9" borderId="18" xfId="0" applyFont="1" applyFill="1" applyBorder="1" applyAlignment="1">
      <alignment vertical="center" wrapText="1"/>
    </xf>
    <xf numFmtId="3" fontId="3" fillId="9" borderId="19" xfId="0" applyNumberFormat="1" applyFont="1" applyFill="1" applyBorder="1" applyAlignment="1">
      <alignment horizontal="right" vertical="center" wrapText="1"/>
    </xf>
    <xf numFmtId="3" fontId="28" fillId="9" borderId="1" xfId="0" applyNumberFormat="1" applyFont="1" applyFill="1" applyBorder="1" applyAlignment="1">
      <alignment vertical="center" wrapText="1"/>
    </xf>
    <xf numFmtId="0" fontId="31" fillId="9" borderId="1" xfId="0" applyFont="1" applyFill="1" applyBorder="1" applyAlignment="1">
      <alignment vertical="center" wrapText="1"/>
    </xf>
    <xf numFmtId="3" fontId="31" fillId="9" borderId="1" xfId="0" applyNumberFormat="1" applyFont="1" applyFill="1" applyBorder="1" applyAlignment="1">
      <alignment vertical="center" wrapText="1"/>
    </xf>
    <xf numFmtId="3" fontId="0" fillId="9" borderId="1" xfId="0" applyNumberFormat="1" applyFill="1" applyBorder="1" applyAlignment="1">
      <alignment wrapText="1"/>
    </xf>
    <xf numFmtId="0" fontId="28" fillId="9" borderId="1" xfId="0" applyFont="1" applyFill="1" applyBorder="1" applyAlignment="1">
      <alignment vertical="center" wrapText="1"/>
    </xf>
    <xf numFmtId="3" fontId="28" fillId="9" borderId="1" xfId="0" applyNumberFormat="1" applyFont="1" applyFill="1" applyBorder="1" applyAlignment="1">
      <alignment horizontal="right" vertical="center" wrapText="1"/>
    </xf>
    <xf numFmtId="3" fontId="32" fillId="9" borderId="1" xfId="0" applyNumberFormat="1" applyFont="1" applyFill="1" applyBorder="1" applyAlignment="1">
      <alignment horizontal="right" vertical="center"/>
    </xf>
    <xf numFmtId="0" fontId="40" fillId="9" borderId="0" xfId="0" applyFont="1" applyFill="1"/>
    <xf numFmtId="0" fontId="41" fillId="9" borderId="0" xfId="0" applyFont="1" applyFill="1"/>
    <xf numFmtId="0" fontId="36" fillId="9" borderId="0" xfId="0" applyFont="1" applyFill="1"/>
    <xf numFmtId="0" fontId="0" fillId="9" borderId="0" xfId="0" applyFill="1"/>
    <xf numFmtId="0" fontId="39" fillId="0" borderId="0" xfId="0" applyFont="1"/>
    <xf numFmtId="0" fontId="9" fillId="0" borderId="4" xfId="0" applyFont="1" applyBorder="1" applyAlignment="1">
      <alignment horizontal="left" vertical="center"/>
    </xf>
    <xf numFmtId="0" fontId="87" fillId="0" borderId="7" xfId="0" applyFont="1" applyBorder="1" applyAlignment="1">
      <alignment horizontal="center" vertical="center"/>
    </xf>
    <xf numFmtId="164" fontId="59" fillId="0" borderId="8" xfId="0" applyNumberFormat="1" applyFont="1" applyBorder="1" applyAlignment="1">
      <alignment horizontal="center" vertical="center"/>
    </xf>
    <xf numFmtId="164" fontId="59" fillId="0" borderId="9" xfId="0" applyNumberFormat="1" applyFont="1"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center" vertical="center" wrapText="1"/>
    </xf>
    <xf numFmtId="0" fontId="26" fillId="0" borderId="0" xfId="0" applyFont="1" applyAlignment="1">
      <alignment horizontal="justify" vertical="center" wrapText="1"/>
    </xf>
    <xf numFmtId="164" fontId="0" fillId="0" borderId="0" xfId="0" applyNumberFormat="1" applyFill="1"/>
    <xf numFmtId="166" fontId="35" fillId="0" borderId="0" xfId="0" applyNumberFormat="1" applyFont="1" applyBorder="1"/>
    <xf numFmtId="3" fontId="52" fillId="0" borderId="0" xfId="0" applyNumberFormat="1" applyFont="1" applyBorder="1" applyAlignment="1">
      <alignment horizontal="right" vertical="center"/>
    </xf>
    <xf numFmtId="3" fontId="35" fillId="0" borderId="0" xfId="0" applyNumberFormat="1" applyFont="1" applyBorder="1"/>
    <xf numFmtId="0" fontId="38" fillId="0" borderId="1" xfId="0" applyFont="1" applyBorder="1" applyAlignment="1">
      <alignment vertical="center" wrapText="1"/>
    </xf>
    <xf numFmtId="0" fontId="16" fillId="0" borderId="1" xfId="0" applyFont="1" applyBorder="1" applyAlignment="1">
      <alignment vertical="center" wrapText="1"/>
    </xf>
    <xf numFmtId="3" fontId="11" fillId="0" borderId="1" xfId="3" applyNumberFormat="1" applyFont="1" applyBorder="1" applyAlignment="1">
      <alignment vertical="center" wrapText="1"/>
    </xf>
    <xf numFmtId="0" fontId="11" fillId="0" borderId="1" xfId="0" applyFont="1" applyBorder="1" applyAlignment="1">
      <alignment vertical="center"/>
    </xf>
    <xf numFmtId="3" fontId="32" fillId="0" borderId="1" xfId="0" applyNumberFormat="1" applyFont="1" applyBorder="1" applyAlignment="1">
      <alignment horizontal="right" vertical="center"/>
    </xf>
    <xf numFmtId="3" fontId="47" fillId="0" borderId="1" xfId="3" applyNumberFormat="1" applyFont="1" applyBorder="1" applyAlignment="1">
      <alignment horizontal="right" vertical="center"/>
    </xf>
    <xf numFmtId="0" fontId="65" fillId="0" borderId="0" xfId="0" applyFont="1" applyAlignment="1">
      <alignment horizontal="left"/>
    </xf>
    <xf numFmtId="0" fontId="0" fillId="0" borderId="0" xfId="0" applyAlignment="1">
      <alignment horizontal="left"/>
    </xf>
    <xf numFmtId="0" fontId="78" fillId="0" borderId="1" xfId="0" applyFont="1" applyBorder="1" applyAlignment="1">
      <alignment horizontal="center"/>
    </xf>
    <xf numFmtId="0" fontId="67" fillId="4" borderId="15" xfId="0" applyFont="1" applyFill="1" applyBorder="1" applyAlignment="1">
      <alignment horizontal="left"/>
    </xf>
    <xf numFmtId="0" fontId="66" fillId="0" borderId="0" xfId="0" applyFont="1" applyAlignment="1">
      <alignment horizontal="left" wrapText="1"/>
    </xf>
    <xf numFmtId="0" fontId="66" fillId="0" borderId="0" xfId="0" applyFont="1" applyAlignment="1">
      <alignment horizontal="left"/>
    </xf>
    <xf numFmtId="0" fontId="68" fillId="0" borderId="0" xfId="0" applyFont="1" applyAlignment="1">
      <alignment horizontal="left" vertical="center"/>
    </xf>
    <xf numFmtId="1" fontId="59" fillId="0" borderId="0" xfId="0" applyNumberFormat="1" applyFont="1" applyAlignment="1">
      <alignment horizontal="center" vertical="center"/>
    </xf>
    <xf numFmtId="1" fontId="65" fillId="0" borderId="0" xfId="0" applyNumberFormat="1" applyFont="1" applyAlignment="1">
      <alignment vertical="center"/>
    </xf>
    <xf numFmtId="0" fontId="65" fillId="0" borderId="0" xfId="0" applyFont="1" applyAlignment="1">
      <alignment horizontal="left" vertical="center"/>
    </xf>
    <xf numFmtId="1" fontId="65" fillId="0" borderId="0" xfId="0" applyNumberFormat="1" applyFont="1" applyAlignment="1">
      <alignment horizontal="left" vertical="center"/>
    </xf>
    <xf numFmtId="0" fontId="41" fillId="0" borderId="0" xfId="0" applyFont="1" applyAlignment="1">
      <alignment horizontal="left" vertical="top" wrapText="1"/>
    </xf>
    <xf numFmtId="168" fontId="66" fillId="0" borderId="0" xfId="0" applyNumberFormat="1" applyFont="1" applyAlignment="1">
      <alignment horizontal="right" vertical="center"/>
    </xf>
    <xf numFmtId="0" fontId="78" fillId="0" borderId="1" xfId="0" applyFont="1" applyBorder="1" applyAlignment="1">
      <alignment horizontal="left"/>
    </xf>
    <xf numFmtId="164" fontId="78" fillId="0" borderId="2" xfId="3" applyFont="1" applyBorder="1"/>
    <xf numFmtId="0" fontId="67" fillId="4" borderId="0" xfId="0" applyFont="1" applyFill="1" applyAlignment="1">
      <alignment horizontal="left"/>
    </xf>
    <xf numFmtId="164" fontId="79" fillId="4" borderId="0" xfId="0" applyNumberFormat="1" applyFont="1" applyFill="1"/>
    <xf numFmtId="10" fontId="79" fillId="4" borderId="0" xfId="0" applyNumberFormat="1" applyFont="1" applyFill="1" applyAlignment="1">
      <alignment horizontal="center"/>
    </xf>
    <xf numFmtId="0" fontId="67" fillId="0" borderId="0" xfId="0" applyFont="1" applyAlignment="1">
      <alignment horizontal="left"/>
    </xf>
    <xf numFmtId="164" fontId="79" fillId="0" borderId="0" xfId="0" applyNumberFormat="1" applyFont="1"/>
    <xf numFmtId="10" fontId="79" fillId="0" borderId="0" xfId="0" applyNumberFormat="1" applyFont="1" applyAlignment="1">
      <alignment horizontal="center"/>
    </xf>
    <xf numFmtId="0" fontId="67" fillId="0" borderId="1" xfId="0" applyFont="1" applyBorder="1" applyAlignment="1">
      <alignment horizontal="left"/>
    </xf>
    <xf numFmtId="10" fontId="67" fillId="0" borderId="1" xfId="0" applyNumberFormat="1" applyFont="1" applyBorder="1" applyAlignment="1">
      <alignment horizontal="right"/>
    </xf>
    <xf numFmtId="164" fontId="67" fillId="0" borderId="1" xfId="0" applyNumberFormat="1" applyFont="1" applyBorder="1" applyAlignment="1">
      <alignment horizontal="left"/>
    </xf>
    <xf numFmtId="0" fontId="100" fillId="5" borderId="0" xfId="0" applyFont="1" applyFill="1" applyAlignment="1">
      <alignment horizontal="left"/>
    </xf>
    <xf numFmtId="164" fontId="100" fillId="5" borderId="0" xfId="0" applyNumberFormat="1" applyFont="1" applyFill="1" applyAlignment="1">
      <alignment horizontal="left"/>
    </xf>
    <xf numFmtId="10" fontId="100" fillId="5" borderId="0" xfId="0" applyNumberFormat="1" applyFont="1" applyFill="1" applyAlignment="1">
      <alignment horizontal="right"/>
    </xf>
    <xf numFmtId="0" fontId="101" fillId="0" borderId="0" xfId="0" applyFont="1"/>
    <xf numFmtId="0" fontId="70" fillId="0" borderId="1" xfId="0" applyFont="1" applyBorder="1"/>
    <xf numFmtId="14" fontId="104" fillId="0" borderId="1" xfId="0" applyNumberFormat="1" applyFont="1" applyBorder="1"/>
    <xf numFmtId="3" fontId="0" fillId="0" borderId="1" xfId="0" applyNumberFormat="1" applyBorder="1" applyAlignment="1">
      <alignment horizontal="right"/>
    </xf>
    <xf numFmtId="0" fontId="82" fillId="6" borderId="24" xfId="0" applyFont="1" applyFill="1" applyBorder="1" applyAlignment="1">
      <alignment horizontal="center" vertical="center" wrapText="1"/>
    </xf>
    <xf numFmtId="0" fontId="63" fillId="6" borderId="28" xfId="0" applyFont="1" applyFill="1" applyBorder="1" applyAlignment="1">
      <alignment horizontal="center" vertical="center"/>
    </xf>
    <xf numFmtId="0" fontId="63" fillId="6" borderId="29" xfId="0" applyFont="1" applyFill="1" applyBorder="1" applyAlignment="1">
      <alignment horizontal="center" vertical="center"/>
    </xf>
    <xf numFmtId="0" fontId="63" fillId="6" borderId="16" xfId="0" applyFont="1" applyFill="1" applyBorder="1" applyAlignment="1">
      <alignment horizontal="center" vertical="center"/>
    </xf>
    <xf numFmtId="0" fontId="63" fillId="6" borderId="0" xfId="0" applyFont="1" applyFill="1" applyAlignment="1">
      <alignment horizontal="center" vertical="center"/>
    </xf>
    <xf numFmtId="0" fontId="63" fillId="6" borderId="30" xfId="0" applyFont="1" applyFill="1" applyBorder="1" applyAlignment="1">
      <alignment horizontal="center" vertical="center"/>
    </xf>
    <xf numFmtId="0" fontId="63" fillId="6" borderId="31" xfId="0" applyFont="1" applyFill="1" applyBorder="1" applyAlignment="1">
      <alignment horizontal="center" vertical="center"/>
    </xf>
    <xf numFmtId="0" fontId="63" fillId="6" borderId="20" xfId="0" applyFont="1" applyFill="1" applyBorder="1" applyAlignment="1">
      <alignment horizontal="center" vertical="center"/>
    </xf>
    <xf numFmtId="0" fontId="63" fillId="6" borderId="32" xfId="0" applyFont="1" applyFill="1" applyBorder="1" applyAlignment="1">
      <alignment horizontal="center" vertical="center"/>
    </xf>
    <xf numFmtId="0" fontId="66" fillId="0" borderId="13" xfId="0" applyFont="1" applyBorder="1" applyAlignment="1">
      <alignment horizontal="left"/>
    </xf>
    <xf numFmtId="0" fontId="66" fillId="0" borderId="14" xfId="0" applyFont="1" applyBorder="1" applyAlignment="1">
      <alignment horizontal="left"/>
    </xf>
    <xf numFmtId="0" fontId="94" fillId="7" borderId="16" xfId="0" applyFont="1" applyFill="1" applyBorder="1" applyAlignment="1">
      <alignment horizontal="center"/>
    </xf>
    <xf numFmtId="0" fontId="94" fillId="7" borderId="0" xfId="0" applyFont="1" applyFill="1" applyAlignment="1">
      <alignment horizontal="center"/>
    </xf>
    <xf numFmtId="0" fontId="65" fillId="0" borderId="0" xfId="0" applyFont="1" applyAlignment="1">
      <alignment horizontal="center"/>
    </xf>
    <xf numFmtId="0" fontId="66" fillId="0" borderId="0" xfId="0" applyFont="1" applyAlignment="1">
      <alignment horizontal="left" wrapText="1"/>
    </xf>
    <xf numFmtId="0" fontId="20" fillId="9" borderId="0" xfId="0" applyFont="1" applyFill="1" applyAlignment="1">
      <alignment horizontal="left" vertical="top" wrapText="1"/>
    </xf>
    <xf numFmtId="0" fontId="21" fillId="9" borderId="0" xfId="0" applyFont="1" applyFill="1" applyAlignment="1">
      <alignment horizontal="left" vertical="top" wrapText="1"/>
    </xf>
    <xf numFmtId="0" fontId="57" fillId="0" borderId="0" xfId="0" applyFont="1" applyAlignment="1">
      <alignment horizontal="left" vertical="center" wrapText="1"/>
    </xf>
    <xf numFmtId="0" fontId="65" fillId="0" borderId="0" xfId="0" applyFont="1" applyAlignment="1">
      <alignment horizontal="left"/>
    </xf>
    <xf numFmtId="0" fontId="66" fillId="0" borderId="0" xfId="0" applyFont="1" applyAlignment="1">
      <alignment horizontal="left"/>
    </xf>
    <xf numFmtId="0" fontId="0" fillId="0" borderId="0" xfId="0" applyAlignment="1">
      <alignment horizontal="left"/>
    </xf>
    <xf numFmtId="0" fontId="78" fillId="0" borderId="1" xfId="0" applyFont="1" applyBorder="1" applyAlignment="1">
      <alignment horizontal="center"/>
    </xf>
    <xf numFmtId="0" fontId="66" fillId="0" borderId="0" xfId="0" applyFont="1" applyAlignment="1">
      <alignment horizontal="left" vertical="center" wrapText="1"/>
    </xf>
    <xf numFmtId="0" fontId="0" fillId="0" borderId="14" xfId="0" applyBorder="1" applyAlignment="1">
      <alignment horizontal="left"/>
    </xf>
    <xf numFmtId="0" fontId="27" fillId="0" borderId="1" xfId="0" applyFont="1" applyBorder="1" applyAlignment="1">
      <alignment horizontal="center" vertical="center"/>
    </xf>
    <xf numFmtId="0" fontId="40" fillId="0" borderId="0" xfId="0" applyFont="1" applyAlignment="1">
      <alignment horizontal="center" vertical="top" wrapText="1"/>
    </xf>
    <xf numFmtId="0" fontId="67" fillId="4" borderId="13" xfId="0" applyFont="1" applyFill="1" applyBorder="1" applyAlignment="1">
      <alignment horizontal="left"/>
    </xf>
    <xf numFmtId="0" fontId="67" fillId="4" borderId="15" xfId="0" applyFont="1" applyFill="1" applyBorder="1" applyAlignment="1">
      <alignment horizontal="left"/>
    </xf>
    <xf numFmtId="0" fontId="67" fillId="4" borderId="36" xfId="0" applyFont="1" applyFill="1" applyBorder="1" applyAlignment="1">
      <alignment horizontal="left"/>
    </xf>
    <xf numFmtId="0" fontId="79" fillId="0" borderId="0" xfId="0" applyFont="1" applyAlignment="1">
      <alignment horizontal="left" vertical="center"/>
    </xf>
    <xf numFmtId="0" fontId="75" fillId="0" borderId="0" xfId="0" applyFont="1" applyAlignment="1">
      <alignment horizontal="left"/>
    </xf>
    <xf numFmtId="0" fontId="78" fillId="0" borderId="1" xfId="0" applyFont="1" applyBorder="1" applyAlignment="1">
      <alignment horizontal="left"/>
    </xf>
    <xf numFmtId="0" fontId="58" fillId="0" borderId="0" xfId="0" applyFont="1" applyAlignment="1">
      <alignment horizontal="center" vertical="center" wrapText="1"/>
    </xf>
    <xf numFmtId="0" fontId="93" fillId="7" borderId="25" xfId="0" applyFont="1" applyFill="1" applyBorder="1" applyAlignment="1">
      <alignment horizontal="center" vertical="center" wrapText="1"/>
    </xf>
    <xf numFmtId="0" fontId="93" fillId="7" borderId="26" xfId="0" applyFont="1" applyFill="1" applyBorder="1" applyAlignment="1">
      <alignment horizontal="center" vertical="center" wrapText="1"/>
    </xf>
    <xf numFmtId="3" fontId="93" fillId="7" borderId="25" xfId="0" applyNumberFormat="1" applyFont="1" applyFill="1" applyBorder="1" applyAlignment="1">
      <alignment horizontal="center" vertical="center" wrapText="1"/>
    </xf>
    <xf numFmtId="3" fontId="93" fillId="7" borderId="26" xfId="0" applyNumberFormat="1" applyFont="1" applyFill="1" applyBorder="1" applyAlignment="1">
      <alignment horizontal="center" vertical="center" wrapText="1"/>
    </xf>
    <xf numFmtId="0" fontId="98" fillId="7" borderId="23" xfId="0" applyFont="1" applyFill="1" applyBorder="1" applyAlignment="1">
      <alignment vertical="center" wrapText="1"/>
    </xf>
    <xf numFmtId="0" fontId="98" fillId="7" borderId="1" xfId="0" applyFont="1" applyFill="1" applyBorder="1" applyAlignment="1">
      <alignment vertical="center" wrapText="1"/>
    </xf>
    <xf numFmtId="0" fontId="92" fillId="7" borderId="23" xfId="0" applyFont="1" applyFill="1" applyBorder="1" applyAlignment="1">
      <alignment horizontal="center" vertical="center" wrapText="1"/>
    </xf>
    <xf numFmtId="0" fontId="92" fillId="7" borderId="1" xfId="0" applyFont="1" applyFill="1" applyBorder="1" applyAlignment="1">
      <alignment horizontal="center" vertical="center" wrapText="1"/>
    </xf>
    <xf numFmtId="0" fontId="92" fillId="7" borderId="21" xfId="0" applyFont="1" applyFill="1" applyBorder="1" applyAlignment="1">
      <alignment horizontal="center" vertical="center" wrapText="1"/>
    </xf>
    <xf numFmtId="0" fontId="92" fillId="7" borderId="5" xfId="0" applyFont="1" applyFill="1" applyBorder="1" applyAlignment="1">
      <alignment horizontal="center" vertical="center" wrapText="1"/>
    </xf>
    <xf numFmtId="0" fontId="20" fillId="0" borderId="11" xfId="0" applyFont="1" applyBorder="1" applyAlignment="1">
      <alignment vertical="center" wrapText="1"/>
    </xf>
    <xf numFmtId="0" fontId="20" fillId="0" borderId="19" xfId="0" applyFont="1" applyBorder="1" applyAlignment="1">
      <alignment vertical="center" wrapText="1"/>
    </xf>
    <xf numFmtId="3" fontId="3" fillId="0" borderId="11" xfId="0" applyNumberFormat="1" applyFont="1" applyBorder="1" applyAlignment="1">
      <alignment horizontal="right" vertical="center" wrapText="1"/>
    </xf>
    <xf numFmtId="3" fontId="3" fillId="0" borderId="19" xfId="0" applyNumberFormat="1" applyFont="1" applyBorder="1" applyAlignment="1">
      <alignment horizontal="right" vertical="center" wrapText="1"/>
    </xf>
    <xf numFmtId="0" fontId="3" fillId="0" borderId="11" xfId="0" applyFont="1" applyBorder="1" applyAlignment="1">
      <alignment horizontal="left" vertical="center" wrapText="1"/>
    </xf>
    <xf numFmtId="0" fontId="3" fillId="0" borderId="19" xfId="0" applyFont="1" applyBorder="1" applyAlignment="1">
      <alignment horizontal="left" vertical="center" wrapText="1"/>
    </xf>
    <xf numFmtId="3" fontId="3" fillId="9" borderId="11" xfId="0" applyNumberFormat="1" applyFont="1" applyFill="1" applyBorder="1" applyAlignment="1">
      <alignment horizontal="right" vertical="center" wrapText="1"/>
    </xf>
    <xf numFmtId="3" fontId="3" fillId="9" borderId="19" xfId="0" applyNumberFormat="1" applyFont="1" applyFill="1" applyBorder="1" applyAlignment="1">
      <alignment horizontal="right" vertical="center" wrapText="1"/>
    </xf>
    <xf numFmtId="0" fontId="98" fillId="7" borderId="22" xfId="0" applyFont="1" applyFill="1" applyBorder="1" applyAlignment="1">
      <alignment vertical="center" wrapText="1"/>
    </xf>
    <xf numFmtId="0" fontId="98" fillId="7" borderId="4" xfId="0" applyFont="1" applyFill="1" applyBorder="1" applyAlignment="1">
      <alignment vertical="center" wrapText="1"/>
    </xf>
    <xf numFmtId="3" fontId="92" fillId="7" borderId="23" xfId="0" applyNumberFormat="1" applyFont="1" applyFill="1" applyBorder="1" applyAlignment="1">
      <alignment horizontal="center" vertical="center" wrapText="1"/>
    </xf>
    <xf numFmtId="3" fontId="92" fillId="7" borderId="1" xfId="0" applyNumberFormat="1" applyFont="1" applyFill="1" applyBorder="1" applyAlignment="1">
      <alignment horizontal="center" vertical="center" wrapText="1"/>
    </xf>
    <xf numFmtId="0" fontId="68" fillId="5" borderId="0" xfId="0" applyFont="1" applyFill="1" applyAlignment="1">
      <alignment horizontal="left" vertical="center"/>
    </xf>
    <xf numFmtId="0" fontId="24" fillId="0" borderId="0" xfId="0" applyFont="1" applyAlignment="1">
      <alignment horizontal="center" vertical="center" wrapText="1"/>
    </xf>
    <xf numFmtId="0" fontId="19" fillId="0" borderId="0" xfId="0" applyFont="1" applyAlignment="1">
      <alignment horizontal="center" vertical="center"/>
    </xf>
    <xf numFmtId="0" fontId="87" fillId="7" borderId="1" xfId="0" applyFont="1" applyFill="1" applyBorder="1" applyAlignment="1">
      <alignment horizontal="center" vertical="center" wrapText="1"/>
    </xf>
    <xf numFmtId="0" fontId="30" fillId="0" borderId="0" xfId="0" applyFont="1" applyAlignment="1">
      <alignment horizontal="center" vertical="center"/>
    </xf>
    <xf numFmtId="0" fontId="60" fillId="0" borderId="0" xfId="0" applyFont="1" applyFill="1" applyAlignment="1">
      <alignment horizontal="center" vertical="center"/>
    </xf>
    <xf numFmtId="0" fontId="61" fillId="0" borderId="0" xfId="0" applyFont="1" applyFill="1" applyAlignment="1">
      <alignment horizontal="center" vertical="center"/>
    </xf>
    <xf numFmtId="0" fontId="24" fillId="0" borderId="0" xfId="0" applyFont="1" applyAlignment="1">
      <alignment horizontal="center" vertical="center"/>
    </xf>
    <xf numFmtId="0" fontId="32" fillId="0" borderId="1" xfId="0" applyFont="1" applyBorder="1" applyAlignment="1">
      <alignment vertical="center" wrapText="1"/>
    </xf>
    <xf numFmtId="3" fontId="32" fillId="0" borderId="1" xfId="0" applyNumberFormat="1" applyFont="1" applyBorder="1" applyAlignment="1">
      <alignment horizontal="right" vertical="center"/>
    </xf>
    <xf numFmtId="0" fontId="19" fillId="0" borderId="0" xfId="0" applyFont="1" applyBorder="1" applyAlignment="1">
      <alignment horizontal="center" vertical="center"/>
    </xf>
    <xf numFmtId="0" fontId="70" fillId="0" borderId="0" xfId="0" applyFont="1" applyAlignment="1">
      <alignment horizontal="left" vertical="center" wrapText="1"/>
    </xf>
    <xf numFmtId="0" fontId="89" fillId="7" borderId="1" xfId="0" applyFont="1" applyFill="1" applyBorder="1" applyAlignment="1">
      <alignment horizontal="justify" vertical="center" wrapText="1"/>
    </xf>
    <xf numFmtId="0" fontId="90" fillId="7" borderId="1" xfId="0" applyFont="1" applyFill="1" applyBorder="1" applyAlignment="1">
      <alignment horizontal="center" vertical="center" wrapText="1"/>
    </xf>
    <xf numFmtId="0" fontId="90" fillId="7" borderId="6" xfId="0" applyFont="1" applyFill="1" applyBorder="1" applyAlignment="1">
      <alignment horizontal="center" vertical="center" wrapText="1"/>
    </xf>
    <xf numFmtId="0" fontId="90" fillId="7" borderId="2" xfId="0" applyFont="1" applyFill="1" applyBorder="1" applyAlignment="1">
      <alignment horizontal="center" vertical="center" wrapText="1"/>
    </xf>
    <xf numFmtId="0" fontId="90" fillId="7" borderId="27" xfId="0" applyFont="1" applyFill="1" applyBorder="1" applyAlignment="1">
      <alignment horizontal="center" vertical="center" wrapText="1"/>
    </xf>
    <xf numFmtId="0" fontId="68" fillId="0" borderId="0" xfId="0" applyFont="1" applyAlignment="1">
      <alignment horizontal="left" vertical="center"/>
    </xf>
    <xf numFmtId="0" fontId="71" fillId="0" borderId="0" xfId="0" applyFont="1" applyAlignment="1">
      <alignment horizontal="left" vertical="center"/>
    </xf>
    <xf numFmtId="0" fontId="85" fillId="7" borderId="1" xfId="0" applyFont="1" applyFill="1" applyBorder="1" applyAlignment="1">
      <alignment horizontal="center" vertical="center" wrapText="1"/>
    </xf>
    <xf numFmtId="0" fontId="87" fillId="7" borderId="1" xfId="0" applyFont="1" applyFill="1" applyBorder="1" applyAlignment="1">
      <alignment horizontal="center" vertical="center"/>
    </xf>
    <xf numFmtId="0" fontId="88" fillId="7" borderId="1" xfId="0" applyFont="1" applyFill="1" applyBorder="1" applyAlignment="1">
      <alignment horizontal="center" vertical="center"/>
    </xf>
    <xf numFmtId="0" fontId="28" fillId="3" borderId="1" xfId="0" applyFont="1" applyFill="1" applyBorder="1" applyAlignment="1">
      <alignment horizontal="center" vertical="center" wrapText="1"/>
    </xf>
    <xf numFmtId="0" fontId="87" fillId="7" borderId="1" xfId="0" applyFont="1" applyFill="1" applyBorder="1" applyAlignment="1">
      <alignment vertical="center" wrapText="1"/>
    </xf>
    <xf numFmtId="0" fontId="28" fillId="0" borderId="1" xfId="0" applyFont="1" applyBorder="1" applyAlignment="1">
      <alignment vertical="center" wrapText="1"/>
    </xf>
    <xf numFmtId="0" fontId="70" fillId="0" borderId="0" xfId="0" applyFont="1" applyAlignment="1">
      <alignment horizontal="left" vertical="center"/>
    </xf>
    <xf numFmtId="0" fontId="68" fillId="0" borderId="0" xfId="0" applyFont="1" applyAlignment="1">
      <alignment horizontal="left" vertical="center" wrapText="1"/>
    </xf>
    <xf numFmtId="0" fontId="85" fillId="7" borderId="1" xfId="0" applyFont="1" applyFill="1" applyBorder="1" applyAlignment="1">
      <alignment horizontal="center" vertical="center"/>
    </xf>
    <xf numFmtId="0" fontId="87" fillId="8" borderId="6" xfId="0" applyFont="1" applyFill="1" applyBorder="1" applyAlignment="1">
      <alignment horizontal="center" vertical="center" wrapText="1"/>
    </xf>
    <xf numFmtId="0" fontId="87" fillId="8" borderId="27" xfId="0" applyFont="1" applyFill="1" applyBorder="1" applyAlignment="1">
      <alignment horizontal="center" vertical="center" wrapText="1"/>
    </xf>
    <xf numFmtId="0" fontId="89" fillId="7" borderId="37" xfId="0" applyFont="1" applyFill="1" applyBorder="1" applyAlignment="1">
      <alignment horizontal="center" vertical="center"/>
    </xf>
    <xf numFmtId="0" fontId="68" fillId="0" borderId="0" xfId="0" applyFont="1" applyFill="1" applyAlignment="1">
      <alignment horizontal="left" vertical="center"/>
    </xf>
    <xf numFmtId="0" fontId="68" fillId="0" borderId="0" xfId="0" applyFont="1" applyFill="1" applyBorder="1" applyAlignment="1">
      <alignment horizontal="left" wrapText="1"/>
    </xf>
    <xf numFmtId="0" fontId="68" fillId="0" borderId="0" xfId="0" applyFont="1" applyFill="1" applyAlignment="1">
      <alignment horizontal="left" vertical="center" wrapText="1"/>
    </xf>
    <xf numFmtId="0" fontId="70" fillId="0" borderId="0" xfId="0" applyFont="1" applyFill="1" applyAlignment="1">
      <alignment horizontal="left" vertical="center"/>
    </xf>
    <xf numFmtId="0" fontId="87" fillId="7" borderId="11" xfId="0" applyFont="1" applyFill="1" applyBorder="1" applyAlignment="1">
      <alignment horizontal="center" vertical="center" wrapText="1"/>
    </xf>
    <xf numFmtId="0" fontId="87" fillId="7" borderId="19" xfId="0" applyFont="1" applyFill="1" applyBorder="1" applyAlignment="1">
      <alignment horizontal="center" vertical="center" wrapText="1"/>
    </xf>
    <xf numFmtId="0" fontId="73" fillId="0" borderId="0" xfId="0" applyFont="1" applyAlignment="1">
      <alignment horizontal="justify"/>
    </xf>
    <xf numFmtId="0" fontId="83" fillId="7" borderId="16" xfId="0" applyFont="1" applyFill="1" applyBorder="1" applyAlignment="1">
      <alignment horizontal="center" wrapText="1"/>
    </xf>
    <xf numFmtId="0" fontId="83" fillId="7" borderId="0" xfId="0" applyFont="1" applyFill="1" applyAlignment="1">
      <alignment horizontal="center" wrapText="1"/>
    </xf>
  </cellXfs>
  <cellStyles count="9">
    <cellStyle name="Excel Built-in Normal" xfId="1"/>
    <cellStyle name="Millares" xfId="2" builtinId="3"/>
    <cellStyle name="Millares [0]" xfId="3" builtinId="6"/>
    <cellStyle name="Millares [0] 2" xfId="8"/>
    <cellStyle name="Millares 2" xfId="4"/>
    <cellStyle name="Millares 3" xfId="5"/>
    <cellStyle name="Normal" xfId="0" builtinId="0"/>
    <cellStyle name="Normal 2" xfId="6"/>
    <cellStyle name="Porcentaje" xfId="7"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300789</xdr:colOff>
      <xdr:row>6</xdr:row>
      <xdr:rowOff>150395</xdr:rowOff>
    </xdr:from>
    <xdr:to>
      <xdr:col>5</xdr:col>
      <xdr:colOff>886326</xdr:colOff>
      <xdr:row>11</xdr:row>
      <xdr:rowOff>34190</xdr:rowOff>
    </xdr:to>
    <xdr:pic>
      <xdr:nvPicPr>
        <xdr:cNvPr id="5" name="Imagen 4">
          <a:extLst>
            <a:ext uri="{FF2B5EF4-FFF2-40B4-BE49-F238E27FC236}">
              <a16:creationId xmlns:a16="http://schemas.microsoft.com/office/drawing/2014/main" xmlns="" id="{90E2FC42-CFBE-440B-9A4C-AF50D9044B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842" y="1283369"/>
          <a:ext cx="3543300" cy="83629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icencias Cyce" id="{63FD8416-5AA9-40BC-8FF5-D7FC55D0B88E}" userId="fef0e68ae67e4012"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8" dT="2022-03-29T15:51:24.89" personId="{63FD8416-5AA9-40BC-8FF5-D7FC55D0B88E}" id="{6F3DA44C-268E-401A-85CE-C7AF832133A9}">
    <text>exponer mejor las cuentas</text>
  </threadedComment>
</ThreadedComments>
</file>

<file path=xl/threadedComments/threadedComment2.xml><?xml version="1.0" encoding="utf-8"?>
<ThreadedComments xmlns="http://schemas.microsoft.com/office/spreadsheetml/2018/threadedcomments" xmlns:x="http://schemas.openxmlformats.org/spreadsheetml/2006/main">
  <threadedComment ref="C34" dT="2022-03-29T16:01:12.85" personId="{63FD8416-5AA9-40BC-8FF5-D7FC55D0B88E}" id="{D05BCD12-6DD2-4BA3-B363-734EC7F3788F}">
    <text>segun vpn es 7.000.000. Verificar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C4:G27"/>
  <sheetViews>
    <sheetView showGridLines="0" zoomScale="95" zoomScaleNormal="95" workbookViewId="0">
      <selection activeCell="A2" sqref="A2"/>
    </sheetView>
  </sheetViews>
  <sheetFormatPr baseColWidth="10" defaultColWidth="10.6640625" defaultRowHeight="14.4"/>
  <cols>
    <col min="1" max="1" width="1.5546875" style="49" customWidth="1"/>
    <col min="2" max="2" width="2" style="49" customWidth="1"/>
    <col min="3" max="3" width="14" style="49" customWidth="1"/>
    <col min="4" max="4" width="20.5546875" style="49" customWidth="1"/>
    <col min="5" max="5" width="23.6640625" style="49" customWidth="1"/>
    <col min="6" max="6" width="36.33203125" style="49" customWidth="1"/>
    <col min="7" max="7" width="25.5546875" style="49" hidden="1" customWidth="1"/>
    <col min="8" max="16384" width="10.6640625" style="49"/>
  </cols>
  <sheetData>
    <row r="4" spans="3:7" ht="14.7" customHeight="1">
      <c r="C4" s="403" t="s">
        <v>438</v>
      </c>
      <c r="D4" s="404"/>
      <c r="E4" s="404"/>
      <c r="F4" s="404"/>
      <c r="G4" s="405"/>
    </row>
    <row r="5" spans="3:7">
      <c r="C5" s="406"/>
      <c r="D5" s="407"/>
      <c r="E5" s="407"/>
      <c r="F5" s="407"/>
      <c r="G5" s="408"/>
    </row>
    <row r="6" spans="3:7">
      <c r="C6" s="406"/>
      <c r="D6" s="407"/>
      <c r="E6" s="407"/>
      <c r="F6" s="407"/>
      <c r="G6" s="408"/>
    </row>
    <row r="7" spans="3:7">
      <c r="C7" s="406"/>
      <c r="D7" s="407"/>
      <c r="E7" s="407"/>
      <c r="F7" s="407"/>
      <c r="G7" s="408"/>
    </row>
    <row r="8" spans="3:7">
      <c r="C8" s="406"/>
      <c r="D8" s="407"/>
      <c r="E8" s="407"/>
      <c r="F8" s="407"/>
      <c r="G8" s="408"/>
    </row>
    <row r="9" spans="3:7">
      <c r="C9" s="406"/>
      <c r="D9" s="407"/>
      <c r="E9" s="407"/>
      <c r="F9" s="407"/>
      <c r="G9" s="408"/>
    </row>
    <row r="10" spans="3:7">
      <c r="C10" s="406"/>
      <c r="D10" s="407"/>
      <c r="E10" s="407"/>
      <c r="F10" s="407"/>
      <c r="G10" s="408"/>
    </row>
    <row r="11" spans="3:7">
      <c r="C11" s="406"/>
      <c r="D11" s="407"/>
      <c r="E11" s="407"/>
      <c r="F11" s="407"/>
      <c r="G11" s="408"/>
    </row>
    <row r="12" spans="3:7">
      <c r="C12" s="406"/>
      <c r="D12" s="407"/>
      <c r="E12" s="407"/>
      <c r="F12" s="407"/>
      <c r="G12" s="408"/>
    </row>
    <row r="13" spans="3:7">
      <c r="C13" s="406"/>
      <c r="D13" s="407"/>
      <c r="E13" s="407"/>
      <c r="F13" s="407"/>
      <c r="G13" s="408"/>
    </row>
    <row r="14" spans="3:7">
      <c r="C14" s="406"/>
      <c r="D14" s="407"/>
      <c r="E14" s="407"/>
      <c r="F14" s="407"/>
      <c r="G14" s="408"/>
    </row>
    <row r="15" spans="3:7">
      <c r="C15" s="406"/>
      <c r="D15" s="407"/>
      <c r="E15" s="407"/>
      <c r="F15" s="407"/>
      <c r="G15" s="408"/>
    </row>
    <row r="16" spans="3:7">
      <c r="C16" s="406"/>
      <c r="D16" s="407"/>
      <c r="E16" s="407"/>
      <c r="F16" s="407"/>
      <c r="G16" s="408"/>
    </row>
    <row r="17" spans="3:7">
      <c r="C17" s="406"/>
      <c r="D17" s="407"/>
      <c r="E17" s="407"/>
      <c r="F17" s="407"/>
      <c r="G17" s="408"/>
    </row>
    <row r="18" spans="3:7" ht="1.95" customHeight="1">
      <c r="C18" s="406"/>
      <c r="D18" s="407"/>
      <c r="E18" s="407"/>
      <c r="F18" s="407"/>
      <c r="G18" s="408"/>
    </row>
    <row r="19" spans="3:7">
      <c r="C19" s="406"/>
      <c r="D19" s="407"/>
      <c r="E19" s="407"/>
      <c r="F19" s="407"/>
      <c r="G19" s="408"/>
    </row>
    <row r="20" spans="3:7">
      <c r="C20" s="406"/>
      <c r="D20" s="407"/>
      <c r="E20" s="407"/>
      <c r="F20" s="407"/>
      <c r="G20" s="408"/>
    </row>
    <row r="21" spans="3:7">
      <c r="C21" s="406"/>
      <c r="D21" s="407"/>
      <c r="E21" s="407"/>
      <c r="F21" s="407"/>
      <c r="G21" s="408"/>
    </row>
    <row r="22" spans="3:7" ht="9.6" customHeight="1">
      <c r="C22" s="406"/>
      <c r="D22" s="407"/>
      <c r="E22" s="407"/>
      <c r="F22" s="407"/>
      <c r="G22" s="408"/>
    </row>
    <row r="23" spans="3:7" hidden="1">
      <c r="C23" s="406"/>
      <c r="D23" s="407"/>
      <c r="E23" s="407"/>
      <c r="F23" s="407"/>
      <c r="G23" s="408"/>
    </row>
    <row r="24" spans="3:7" hidden="1">
      <c r="C24" s="406"/>
      <c r="D24" s="407"/>
      <c r="E24" s="407"/>
      <c r="F24" s="407"/>
      <c r="G24" s="408"/>
    </row>
    <row r="25" spans="3:7" hidden="1">
      <c r="C25" s="406"/>
      <c r="D25" s="407"/>
      <c r="E25" s="407"/>
      <c r="F25" s="407"/>
      <c r="G25" s="408"/>
    </row>
    <row r="26" spans="3:7" ht="90" customHeight="1">
      <c r="C26" s="409"/>
      <c r="D26" s="410"/>
      <c r="E26" s="410"/>
      <c r="F26" s="410"/>
      <c r="G26" s="411"/>
    </row>
    <row r="27" spans="3:7" ht="45" customHeight="1"/>
  </sheetData>
  <mergeCells count="1">
    <mergeCell ref="C4:G26"/>
  </mergeCells>
  <pageMargins left="0.70866141732283472" right="0.70866141732283472" top="0.74803149606299213" bottom="0.74803149606299213" header="0.31496062992125984" footer="0.31496062992125984"/>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2:G97"/>
  <sheetViews>
    <sheetView showGridLines="0" topLeftCell="A64" zoomScaleNormal="100" workbookViewId="0">
      <selection activeCell="C20" sqref="C20"/>
    </sheetView>
  </sheetViews>
  <sheetFormatPr baseColWidth="10" defaultColWidth="10.6640625" defaultRowHeight="14.4"/>
  <cols>
    <col min="1" max="1" width="4.6640625" customWidth="1"/>
    <col min="2" max="2" width="48.6640625" bestFit="1" customWidth="1"/>
    <col min="3" max="3" width="20.5546875" customWidth="1"/>
    <col min="4" max="4" width="19.33203125" bestFit="1" customWidth="1"/>
    <col min="5" max="5" width="18.33203125" customWidth="1"/>
    <col min="7" max="7" width="16.6640625" customWidth="1"/>
  </cols>
  <sheetData>
    <row r="2" spans="2:7" s="49" customFormat="1"/>
    <row r="3" spans="2:7" s="49" customFormat="1"/>
    <row r="4" spans="2:7">
      <c r="B4" s="185" t="s">
        <v>227</v>
      </c>
    </row>
    <row r="5" spans="2:7" ht="8.6999999999999993" customHeight="1"/>
    <row r="6" spans="2:7">
      <c r="B6" s="486" t="s">
        <v>171</v>
      </c>
      <c r="C6" s="224" t="s">
        <v>228</v>
      </c>
      <c r="D6" s="224"/>
      <c r="E6" s="224"/>
      <c r="F6" s="224" t="s">
        <v>228</v>
      </c>
    </row>
    <row r="7" spans="2:7">
      <c r="B7" s="487"/>
      <c r="C7" s="224" t="s">
        <v>229</v>
      </c>
      <c r="D7" s="224" t="s">
        <v>230</v>
      </c>
      <c r="E7" s="224" t="s">
        <v>231</v>
      </c>
      <c r="F7" s="224" t="s">
        <v>232</v>
      </c>
    </row>
    <row r="8" spans="2:7">
      <c r="B8" s="59" t="s">
        <v>39</v>
      </c>
      <c r="C8" s="60">
        <v>69757702</v>
      </c>
      <c r="D8" s="61">
        <v>20681817</v>
      </c>
      <c r="E8" s="61">
        <v>-2091038</v>
      </c>
      <c r="F8" s="61">
        <f t="shared" ref="F8:F9" si="0">SUM(C8:E8)</f>
        <v>88348481</v>
      </c>
      <c r="G8" s="13"/>
    </row>
    <row r="9" spans="2:7">
      <c r="B9" s="64" t="s">
        <v>233</v>
      </c>
      <c r="C9" s="65">
        <f>SUM(C8)</f>
        <v>69757702</v>
      </c>
      <c r="D9" s="310">
        <f t="shared" ref="D9:E9" si="1">SUM(D8)</f>
        <v>20681817</v>
      </c>
      <c r="E9" s="310">
        <f t="shared" si="1"/>
        <v>-2091038</v>
      </c>
      <c r="F9" s="66">
        <f t="shared" si="0"/>
        <v>88348481</v>
      </c>
    </row>
    <row r="10" spans="2:7">
      <c r="B10" s="59" t="s">
        <v>234</v>
      </c>
      <c r="C10" s="61">
        <f>+C8</f>
        <v>69757702</v>
      </c>
      <c r="D10" s="62">
        <v>0</v>
      </c>
      <c r="E10" s="61">
        <f>+E8</f>
        <v>-2091038</v>
      </c>
      <c r="F10" s="61">
        <f>SUM(C10:E10)</f>
        <v>67666664</v>
      </c>
    </row>
    <row r="12" spans="2:7">
      <c r="B12" s="185" t="s">
        <v>235</v>
      </c>
      <c r="C12" s="179"/>
      <c r="D12" s="179"/>
      <c r="E12" s="179"/>
      <c r="F12" s="179"/>
    </row>
    <row r="13" spans="2:7">
      <c r="B13" s="469" t="s">
        <v>184</v>
      </c>
      <c r="C13" s="469"/>
      <c r="D13" s="469"/>
      <c r="E13" s="469"/>
      <c r="F13" s="469"/>
    </row>
    <row r="14" spans="2:7">
      <c r="B14" s="179"/>
      <c r="C14" s="179"/>
      <c r="D14" s="179"/>
      <c r="E14" s="179"/>
      <c r="F14" s="179"/>
    </row>
    <row r="15" spans="2:7">
      <c r="B15" s="475" t="s">
        <v>417</v>
      </c>
      <c r="C15" s="475"/>
      <c r="D15" s="475"/>
      <c r="E15" s="475"/>
      <c r="F15" s="179"/>
    </row>
    <row r="16" spans="2:7" ht="11.7" customHeight="1"/>
    <row r="17" spans="2:6">
      <c r="B17" s="225" t="s">
        <v>360</v>
      </c>
      <c r="C17" s="225" t="s">
        <v>179</v>
      </c>
      <c r="D17" s="225" t="s">
        <v>207</v>
      </c>
    </row>
    <row r="18" spans="2:6">
      <c r="B18" s="43" t="s">
        <v>344</v>
      </c>
      <c r="C18" s="42">
        <v>18711977</v>
      </c>
      <c r="D18" s="42">
        <v>37318686</v>
      </c>
      <c r="E18" s="38"/>
      <c r="F18" s="17"/>
    </row>
    <row r="19" spans="2:6">
      <c r="B19" s="43" t="s">
        <v>345</v>
      </c>
      <c r="C19" s="42">
        <v>37678331</v>
      </c>
      <c r="D19" s="42">
        <v>44451050</v>
      </c>
      <c r="E19" s="38"/>
      <c r="F19" s="17"/>
    </row>
    <row r="20" spans="2:6">
      <c r="B20" s="43" t="s">
        <v>346</v>
      </c>
      <c r="C20" s="42">
        <v>12575430</v>
      </c>
      <c r="D20" s="42">
        <v>0</v>
      </c>
      <c r="E20" s="38"/>
      <c r="F20" s="17"/>
    </row>
    <row r="21" spans="2:6">
      <c r="B21" s="43" t="s">
        <v>325</v>
      </c>
      <c r="C21" s="42">
        <v>0</v>
      </c>
      <c r="D21" s="42">
        <v>468416</v>
      </c>
      <c r="E21" s="38"/>
      <c r="F21" s="17"/>
    </row>
    <row r="22" spans="2:6" s="49" customFormat="1">
      <c r="B22" s="43" t="s">
        <v>753</v>
      </c>
      <c r="C22" s="42">
        <v>73615437</v>
      </c>
      <c r="D22" s="42">
        <v>62109000</v>
      </c>
      <c r="E22" s="38"/>
      <c r="F22" s="17"/>
    </row>
    <row r="23" spans="2:6" s="49" customFormat="1">
      <c r="B23" s="43" t="s">
        <v>629</v>
      </c>
      <c r="C23" s="42">
        <v>11805338</v>
      </c>
      <c r="D23" s="42">
        <v>6759618</v>
      </c>
      <c r="E23" s="38"/>
      <c r="F23" s="17"/>
    </row>
    <row r="24" spans="2:6" s="49" customFormat="1">
      <c r="B24" s="43" t="s">
        <v>630</v>
      </c>
      <c r="C24" s="42">
        <v>575339</v>
      </c>
      <c r="D24" s="42">
        <v>20312918</v>
      </c>
      <c r="E24" s="38"/>
      <c r="F24" s="17"/>
    </row>
    <row r="25" spans="2:6" s="49" customFormat="1">
      <c r="B25" s="43" t="s">
        <v>768</v>
      </c>
      <c r="C25" s="42">
        <v>48537626</v>
      </c>
      <c r="D25" s="42">
        <v>0</v>
      </c>
      <c r="E25" s="38"/>
      <c r="F25" s="17"/>
    </row>
    <row r="26" spans="2:6">
      <c r="B26" s="43" t="s">
        <v>382</v>
      </c>
      <c r="C26" s="42">
        <v>5090903</v>
      </c>
      <c r="D26" s="42">
        <v>3181816</v>
      </c>
      <c r="E26" s="38"/>
      <c r="F26" s="17"/>
    </row>
    <row r="27" spans="2:6">
      <c r="B27" s="45" t="s">
        <v>208</v>
      </c>
      <c r="C27" s="46">
        <f>SUM(C18:C26)</f>
        <v>208590381</v>
      </c>
      <c r="D27" s="50">
        <f>SUM(D18:D26)</f>
        <v>174601504</v>
      </c>
      <c r="F27" s="12"/>
    </row>
    <row r="29" spans="2:6" s="49" customFormat="1">
      <c r="B29" s="475" t="s">
        <v>631</v>
      </c>
      <c r="C29" s="475"/>
      <c r="D29" s="475"/>
      <c r="E29" s="475"/>
      <c r="F29" s="179"/>
    </row>
    <row r="30" spans="2:6" s="49" customFormat="1" ht="11.7" customHeight="1"/>
    <row r="31" spans="2:6" s="49" customFormat="1">
      <c r="B31" s="226" t="s">
        <v>360</v>
      </c>
      <c r="C31" s="226" t="s">
        <v>179</v>
      </c>
      <c r="D31" s="226" t="s">
        <v>207</v>
      </c>
    </row>
    <row r="32" spans="2:6" s="49" customFormat="1">
      <c r="B32" s="43" t="s">
        <v>633</v>
      </c>
      <c r="C32" s="42">
        <v>311618073</v>
      </c>
      <c r="D32" s="42">
        <v>311618073</v>
      </c>
      <c r="E32" s="38"/>
      <c r="F32" s="17"/>
    </row>
    <row r="33" spans="2:6" s="49" customFormat="1">
      <c r="B33" s="43"/>
      <c r="C33" s="42"/>
      <c r="D33" s="42">
        <v>0</v>
      </c>
      <c r="E33" s="38"/>
      <c r="F33" s="17"/>
    </row>
    <row r="34" spans="2:6" s="49" customFormat="1">
      <c r="B34" s="45" t="s">
        <v>208</v>
      </c>
      <c r="C34" s="46">
        <f>SUM(C32:C33)</f>
        <v>311618073</v>
      </c>
      <c r="D34" s="50">
        <f>SUM(D32:D33)</f>
        <v>311618073</v>
      </c>
      <c r="F34" s="12"/>
    </row>
    <row r="35" spans="2:6" s="49" customFormat="1">
      <c r="B35" s="265"/>
      <c r="C35" s="266"/>
      <c r="D35" s="267"/>
      <c r="F35" s="12"/>
    </row>
    <row r="36" spans="2:6">
      <c r="B36" s="185" t="s">
        <v>236</v>
      </c>
      <c r="C36" s="179"/>
      <c r="D36" s="179"/>
    </row>
    <row r="37" spans="2:6">
      <c r="B37" s="483" t="s">
        <v>184</v>
      </c>
      <c r="C37" s="483"/>
      <c r="D37" s="483"/>
    </row>
    <row r="38" spans="2:6">
      <c r="B38" s="178"/>
      <c r="C38" s="179"/>
      <c r="D38" s="179"/>
    </row>
    <row r="39" spans="2:6">
      <c r="B39" s="178" t="s">
        <v>418</v>
      </c>
      <c r="C39" s="179"/>
      <c r="D39" s="179"/>
    </row>
    <row r="40" spans="2:6" ht="16.2" customHeight="1">
      <c r="B40" s="219" t="s">
        <v>237</v>
      </c>
      <c r="C40" s="218" t="s">
        <v>238</v>
      </c>
      <c r="D40" s="219" t="s">
        <v>239</v>
      </c>
    </row>
    <row r="41" spans="2:6">
      <c r="B41" s="68" t="s">
        <v>634</v>
      </c>
      <c r="C41" s="67">
        <v>200000000</v>
      </c>
      <c r="D41" s="67">
        <v>123076920</v>
      </c>
    </row>
    <row r="42" spans="2:6">
      <c r="B42" s="70" t="s">
        <v>208</v>
      </c>
      <c r="C42" s="73">
        <f>+C41</f>
        <v>200000000</v>
      </c>
      <c r="D42" s="73">
        <f>+D41</f>
        <v>123076920</v>
      </c>
    </row>
    <row r="44" spans="2:6">
      <c r="B44" s="198" t="s">
        <v>419</v>
      </c>
      <c r="C44" s="159"/>
      <c r="D44" s="159"/>
    </row>
    <row r="45" spans="2:6">
      <c r="B45" s="219" t="s">
        <v>240</v>
      </c>
      <c r="C45" s="220" t="s">
        <v>238</v>
      </c>
      <c r="D45" s="219" t="s">
        <v>239</v>
      </c>
    </row>
    <row r="46" spans="2:6">
      <c r="B46" s="68" t="s">
        <v>634</v>
      </c>
      <c r="C46" s="161">
        <v>1726027</v>
      </c>
      <c r="D46" s="161">
        <v>26877013</v>
      </c>
    </row>
    <row r="47" spans="2:6">
      <c r="B47" s="162" t="s">
        <v>208</v>
      </c>
      <c r="C47" s="163">
        <f>+C46</f>
        <v>1726027</v>
      </c>
      <c r="D47" s="164">
        <f>+D46</f>
        <v>26877013</v>
      </c>
    </row>
    <row r="49" spans="2:6">
      <c r="B49" s="178" t="s">
        <v>420</v>
      </c>
    </row>
    <row r="50" spans="2:6">
      <c r="B50" s="219" t="s">
        <v>241</v>
      </c>
      <c r="C50" s="218" t="s">
        <v>238</v>
      </c>
      <c r="D50" s="219" t="s">
        <v>239</v>
      </c>
    </row>
    <row r="51" spans="2:6">
      <c r="B51" s="68" t="s">
        <v>386</v>
      </c>
      <c r="C51" s="62"/>
      <c r="D51" s="76"/>
    </row>
    <row r="52" spans="2:6">
      <c r="B52" s="70" t="s">
        <v>208</v>
      </c>
      <c r="C52" s="75" t="s">
        <v>137</v>
      </c>
      <c r="D52" s="77" t="s">
        <v>137</v>
      </c>
    </row>
    <row r="54" spans="2:6">
      <c r="B54" s="178" t="s">
        <v>421</v>
      </c>
    </row>
    <row r="55" spans="2:6">
      <c r="B55" s="219" t="s">
        <v>237</v>
      </c>
      <c r="C55" s="218" t="s">
        <v>238</v>
      </c>
      <c r="D55" s="219" t="s">
        <v>239</v>
      </c>
    </row>
    <row r="56" spans="2:6">
      <c r="B56" s="68" t="s">
        <v>634</v>
      </c>
      <c r="C56" s="67"/>
      <c r="D56" s="67">
        <v>76923080</v>
      </c>
    </row>
    <row r="57" spans="2:6">
      <c r="B57" s="70" t="s">
        <v>208</v>
      </c>
      <c r="C57" s="73">
        <f>+C56</f>
        <v>0</v>
      </c>
      <c r="D57" s="74">
        <f>+D56</f>
        <v>76923080</v>
      </c>
    </row>
    <row r="60" spans="2:6">
      <c r="B60" s="475" t="s">
        <v>242</v>
      </c>
      <c r="C60" s="475"/>
      <c r="D60" s="475"/>
      <c r="E60" s="179"/>
    </row>
    <row r="61" spans="2:6" ht="15" thickBot="1">
      <c r="B61" s="483" t="s">
        <v>184</v>
      </c>
      <c r="C61" s="483"/>
      <c r="D61" s="483"/>
      <c r="E61" s="483"/>
      <c r="F61" s="14"/>
    </row>
    <row r="62" spans="2:6">
      <c r="B62" s="222" t="s">
        <v>171</v>
      </c>
      <c r="C62" s="223" t="s">
        <v>179</v>
      </c>
      <c r="D62" s="223" t="s">
        <v>243</v>
      </c>
      <c r="F62" s="14"/>
    </row>
    <row r="63" spans="2:6">
      <c r="B63" s="68" t="s">
        <v>635</v>
      </c>
      <c r="C63" s="48">
        <v>0</v>
      </c>
      <c r="D63" s="48">
        <v>1440000</v>
      </c>
      <c r="F63" s="18"/>
    </row>
    <row r="64" spans="2:6" s="49" customFormat="1">
      <c r="B64" s="68" t="s">
        <v>749</v>
      </c>
      <c r="C64" s="48">
        <v>0</v>
      </c>
      <c r="D64" s="48">
        <v>2641320</v>
      </c>
      <c r="F64" s="18"/>
    </row>
    <row r="65" spans="2:6" s="49" customFormat="1">
      <c r="B65" s="68" t="s">
        <v>645</v>
      </c>
      <c r="C65" s="48">
        <v>0</v>
      </c>
      <c r="D65" s="48">
        <v>0</v>
      </c>
      <c r="F65" s="18"/>
    </row>
    <row r="66" spans="2:6" s="49" customFormat="1">
      <c r="B66" s="68" t="s">
        <v>646</v>
      </c>
      <c r="C66" s="48">
        <v>1262727</v>
      </c>
      <c r="D66" s="48">
        <v>412007</v>
      </c>
      <c r="F66" s="18"/>
    </row>
    <row r="67" spans="2:6" s="49" customFormat="1">
      <c r="B67" s="68" t="s">
        <v>647</v>
      </c>
      <c r="C67" s="48">
        <v>0</v>
      </c>
      <c r="D67" s="48">
        <v>0</v>
      </c>
      <c r="F67" s="18"/>
    </row>
    <row r="68" spans="2:6" s="49" customFormat="1">
      <c r="B68" s="68" t="s">
        <v>648</v>
      </c>
      <c r="C68" s="48">
        <v>0</v>
      </c>
      <c r="D68" s="48">
        <v>0</v>
      </c>
      <c r="F68" s="18"/>
    </row>
    <row r="69" spans="2:6" s="49" customFormat="1">
      <c r="B69" s="68" t="s">
        <v>746</v>
      </c>
      <c r="C69" s="48">
        <v>230434.158</v>
      </c>
      <c r="D69" s="48">
        <v>4572648</v>
      </c>
      <c r="F69" s="18"/>
    </row>
    <row r="70" spans="2:6" s="49" customFormat="1">
      <c r="B70" s="68" t="s">
        <v>649</v>
      </c>
      <c r="C70" s="48">
        <v>0</v>
      </c>
      <c r="D70" s="48">
        <v>0</v>
      </c>
      <c r="F70" s="18"/>
    </row>
    <row r="71" spans="2:6" s="49" customFormat="1">
      <c r="B71" s="68" t="s">
        <v>747</v>
      </c>
      <c r="C71" s="48">
        <v>0</v>
      </c>
      <c r="D71" s="48">
        <v>200000</v>
      </c>
      <c r="F71" s="18"/>
    </row>
    <row r="72" spans="2:6" s="49" customFormat="1">
      <c r="B72" s="68" t="s">
        <v>650</v>
      </c>
      <c r="C72" s="48">
        <v>482840</v>
      </c>
      <c r="D72" s="48">
        <v>0</v>
      </c>
      <c r="F72" s="18"/>
    </row>
    <row r="73" spans="2:6" s="49" customFormat="1">
      <c r="B73" s="68" t="s">
        <v>651</v>
      </c>
      <c r="C73" s="48">
        <v>0</v>
      </c>
      <c r="D73" s="48">
        <v>0</v>
      </c>
      <c r="F73" s="18"/>
    </row>
    <row r="74" spans="2:6" s="49" customFormat="1">
      <c r="B74" s="68" t="s">
        <v>653</v>
      </c>
      <c r="C74" s="48">
        <v>0</v>
      </c>
      <c r="D74" s="48">
        <v>0</v>
      </c>
      <c r="F74" s="18"/>
    </row>
    <row r="75" spans="2:6" s="49" customFormat="1">
      <c r="B75" s="68" t="s">
        <v>744</v>
      </c>
      <c r="C75" s="48">
        <v>0</v>
      </c>
      <c r="D75" s="48">
        <v>605000</v>
      </c>
      <c r="F75" s="18"/>
    </row>
    <row r="76" spans="2:6" s="49" customFormat="1">
      <c r="B76" s="68" t="s">
        <v>767</v>
      </c>
      <c r="C76" s="48">
        <v>540000</v>
      </c>
      <c r="D76" s="48"/>
      <c r="F76" s="18"/>
    </row>
    <row r="77" spans="2:6" s="49" customFormat="1">
      <c r="B77" s="68" t="s">
        <v>745</v>
      </c>
      <c r="C77" s="48">
        <v>0</v>
      </c>
      <c r="D77" s="48">
        <v>4200000</v>
      </c>
      <c r="F77" s="18"/>
    </row>
    <row r="78" spans="2:6" s="49" customFormat="1">
      <c r="B78" s="68" t="s">
        <v>654</v>
      </c>
      <c r="C78" s="48">
        <v>3500000</v>
      </c>
      <c r="D78" s="48">
        <v>1750000</v>
      </c>
      <c r="F78" s="18"/>
    </row>
    <row r="79" spans="2:6" s="49" customFormat="1">
      <c r="B79" s="68" t="s">
        <v>748</v>
      </c>
      <c r="C79" s="48">
        <v>0</v>
      </c>
      <c r="D79" s="48">
        <v>825000</v>
      </c>
      <c r="F79" s="18"/>
    </row>
    <row r="80" spans="2:6">
      <c r="B80" s="68" t="s">
        <v>636</v>
      </c>
      <c r="C80" s="48">
        <v>0</v>
      </c>
      <c r="D80" s="48">
        <v>0</v>
      </c>
      <c r="F80" s="18"/>
    </row>
    <row r="81" spans="2:6">
      <c r="B81" s="68" t="s">
        <v>637</v>
      </c>
      <c r="C81" s="48">
        <v>0</v>
      </c>
      <c r="D81" s="48">
        <v>0</v>
      </c>
      <c r="F81" s="18"/>
    </row>
    <row r="82" spans="2:6" s="49" customFormat="1">
      <c r="B82" s="68" t="s">
        <v>766</v>
      </c>
      <c r="C82" s="48">
        <v>4400000</v>
      </c>
      <c r="D82" s="48"/>
      <c r="F82" s="18"/>
    </row>
    <row r="83" spans="2:6" s="49" customFormat="1">
      <c r="B83" s="68" t="s">
        <v>638</v>
      </c>
      <c r="C83" s="48">
        <v>0</v>
      </c>
      <c r="D83" s="48">
        <v>0</v>
      </c>
      <c r="F83" s="18"/>
    </row>
    <row r="84" spans="2:6" s="49" customFormat="1">
      <c r="B84" s="68" t="s">
        <v>639</v>
      </c>
      <c r="C84" s="48">
        <v>0</v>
      </c>
      <c r="D84" s="48">
        <v>84630</v>
      </c>
      <c r="F84" s="18"/>
    </row>
    <row r="85" spans="2:6" s="49" customFormat="1">
      <c r="B85" s="68" t="s">
        <v>640</v>
      </c>
      <c r="C85" s="48">
        <v>0</v>
      </c>
      <c r="D85" s="48">
        <v>33238</v>
      </c>
      <c r="F85" s="18"/>
    </row>
    <row r="86" spans="2:6" s="49" customFormat="1">
      <c r="B86" s="68" t="s">
        <v>641</v>
      </c>
      <c r="C86" s="48">
        <v>0</v>
      </c>
      <c r="D86" s="48">
        <v>120120</v>
      </c>
      <c r="F86" s="18"/>
    </row>
    <row r="87" spans="2:6" s="49" customFormat="1">
      <c r="B87" s="68" t="s">
        <v>642</v>
      </c>
      <c r="C87" s="48">
        <v>0</v>
      </c>
      <c r="D87" s="48">
        <v>7554770</v>
      </c>
      <c r="F87" s="18"/>
    </row>
    <row r="88" spans="2:6" s="49" customFormat="1">
      <c r="B88" s="68" t="s">
        <v>643</v>
      </c>
      <c r="C88" s="48">
        <v>360000</v>
      </c>
      <c r="D88" s="48">
        <v>150000</v>
      </c>
      <c r="F88" s="18"/>
    </row>
    <row r="89" spans="2:6">
      <c r="B89" s="68" t="s">
        <v>644</v>
      </c>
      <c r="C89" s="48">
        <v>0</v>
      </c>
      <c r="D89" s="48">
        <v>100650</v>
      </c>
      <c r="F89" s="18"/>
    </row>
    <row r="90" spans="2:6">
      <c r="B90" s="70" t="s">
        <v>208</v>
      </c>
      <c r="C90" s="74">
        <f>SUM(C63:C89)</f>
        <v>10776001.158</v>
      </c>
      <c r="D90" s="74">
        <f>SUM(D63:D89)</f>
        <v>24689383</v>
      </c>
      <c r="E90" s="22"/>
      <c r="F90" s="19"/>
    </row>
    <row r="92" spans="2:6">
      <c r="B92" s="185" t="s">
        <v>422</v>
      </c>
    </row>
    <row r="93" spans="2:6">
      <c r="B93" s="219" t="s">
        <v>171</v>
      </c>
      <c r="C93" s="219" t="s">
        <v>179</v>
      </c>
      <c r="D93" s="219" t="s">
        <v>243</v>
      </c>
    </row>
    <row r="94" spans="2:6">
      <c r="B94" s="68" t="s">
        <v>244</v>
      </c>
      <c r="C94" s="47">
        <v>94640040</v>
      </c>
      <c r="D94" s="47">
        <v>83088456</v>
      </c>
    </row>
    <row r="95" spans="2:6">
      <c r="B95" s="70" t="s">
        <v>208</v>
      </c>
      <c r="C95" s="74">
        <f>+C94</f>
        <v>94640040</v>
      </c>
      <c r="D95" s="74">
        <f>+D94</f>
        <v>83088456</v>
      </c>
      <c r="E95" s="22"/>
      <c r="F95" s="22"/>
    </row>
    <row r="97" spans="3:3">
      <c r="C97" s="22"/>
    </row>
  </sheetData>
  <mergeCells count="7">
    <mergeCell ref="B61:E61"/>
    <mergeCell ref="B6:B7"/>
    <mergeCell ref="B13:F13"/>
    <mergeCell ref="B15:E15"/>
    <mergeCell ref="B37:D37"/>
    <mergeCell ref="B60:D60"/>
    <mergeCell ref="B29:E29"/>
  </mergeCells>
  <conditionalFormatting sqref="B63:B89">
    <cfRule type="duplicateValues" dxfId="0" priority="1"/>
  </conditionalFormatting>
  <pageMargins left="0.7" right="0.7" top="0.75" bottom="0.75" header="0.3" footer="0.3"/>
  <pageSetup scale="7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3:I76"/>
  <sheetViews>
    <sheetView showGridLines="0" topLeftCell="A16" zoomScaleNormal="100" workbookViewId="0">
      <selection activeCell="E12" sqref="E12"/>
    </sheetView>
  </sheetViews>
  <sheetFormatPr baseColWidth="10" defaultColWidth="11.44140625" defaultRowHeight="14.4"/>
  <cols>
    <col min="1" max="1" width="5.44140625" style="20" customWidth="1"/>
    <col min="2" max="2" width="68.44140625" style="20" bestFit="1" customWidth="1"/>
    <col min="3" max="3" width="27.33203125" style="20" bestFit="1" customWidth="1"/>
    <col min="4" max="4" width="19.33203125" style="20" bestFit="1" customWidth="1"/>
    <col min="5" max="5" width="22" style="20" bestFit="1" customWidth="1"/>
    <col min="6" max="6" width="16.88671875" style="20" bestFit="1" customWidth="1"/>
    <col min="7" max="7" width="22.33203125" style="20" customWidth="1"/>
    <col min="8" max="16384" width="11.44140625" style="20"/>
  </cols>
  <sheetData>
    <row r="3" spans="2:6">
      <c r="B3" s="489" t="s">
        <v>245</v>
      </c>
      <c r="C3" s="489"/>
      <c r="D3" s="489"/>
      <c r="E3" s="489"/>
    </row>
    <row r="4" spans="2:6" ht="15" thickBot="1">
      <c r="B4" s="212"/>
      <c r="C4" s="212"/>
      <c r="D4" s="212"/>
      <c r="E4" s="191"/>
    </row>
    <row r="5" spans="2:6" s="49" customFormat="1">
      <c r="B5" s="270" t="s">
        <v>171</v>
      </c>
      <c r="C5" s="271" t="s">
        <v>179</v>
      </c>
      <c r="D5" s="272" t="s">
        <v>243</v>
      </c>
      <c r="F5" s="14"/>
    </row>
    <row r="6" spans="2:6">
      <c r="B6" s="273" t="s">
        <v>724</v>
      </c>
      <c r="C6" s="269">
        <v>7968227.7380605014</v>
      </c>
      <c r="D6" s="269">
        <v>68653027.162368193</v>
      </c>
      <c r="E6" s="362"/>
      <c r="F6" s="21"/>
    </row>
    <row r="7" spans="2:6">
      <c r="B7" s="273" t="s">
        <v>725</v>
      </c>
      <c r="C7" s="269">
        <v>273512.97773494647</v>
      </c>
      <c r="D7" s="269">
        <v>2356545.8351555606</v>
      </c>
      <c r="E7" s="362"/>
      <c r="F7" s="21"/>
    </row>
    <row r="8" spans="2:6">
      <c r="B8" s="273" t="s">
        <v>726</v>
      </c>
      <c r="C8" s="269">
        <v>8976762.9437614921</v>
      </c>
      <c r="D8" s="269">
        <v>77342411.696456283</v>
      </c>
      <c r="E8" s="362"/>
      <c r="F8" s="21"/>
    </row>
    <row r="9" spans="2:6">
      <c r="B9" s="273" t="s">
        <v>727</v>
      </c>
      <c r="C9" s="269">
        <v>1181558.3404430614</v>
      </c>
      <c r="D9" s="278">
        <v>10180125.306019995</v>
      </c>
      <c r="E9" s="362"/>
      <c r="F9" s="21"/>
    </row>
    <row r="10" spans="2:6" ht="15" thickBot="1">
      <c r="B10" s="275"/>
      <c r="C10" s="276">
        <f>SUM(C6:C9)</f>
        <v>18400062</v>
      </c>
      <c r="D10" s="277">
        <f>SUM(D6:D9)</f>
        <v>158532110.00000003</v>
      </c>
      <c r="F10" s="21"/>
    </row>
    <row r="11" spans="2:6">
      <c r="B11" s="191"/>
      <c r="C11" s="192"/>
      <c r="D11" s="192"/>
      <c r="E11" s="192"/>
    </row>
    <row r="12" spans="2:6">
      <c r="B12" s="191"/>
      <c r="C12" s="191"/>
      <c r="D12" s="191"/>
      <c r="E12" s="191"/>
    </row>
    <row r="13" spans="2:6">
      <c r="B13" s="490" t="s">
        <v>413</v>
      </c>
      <c r="C13" s="490"/>
      <c r="D13" s="490"/>
      <c r="E13" s="191"/>
    </row>
    <row r="14" spans="2:6" ht="15" thickBot="1">
      <c r="B14" s="212"/>
      <c r="C14" s="212"/>
      <c r="D14" s="212"/>
      <c r="E14" s="191"/>
    </row>
    <row r="15" spans="2:6" s="49" customFormat="1">
      <c r="B15" s="270" t="s">
        <v>171</v>
      </c>
      <c r="C15" s="271" t="s">
        <v>179</v>
      </c>
      <c r="D15" s="272" t="s">
        <v>243</v>
      </c>
      <c r="F15" s="14"/>
    </row>
    <row r="16" spans="2:6">
      <c r="B16" s="273" t="s">
        <v>606</v>
      </c>
      <c r="C16" s="269">
        <v>0</v>
      </c>
      <c r="D16" s="269">
        <v>4000000</v>
      </c>
      <c r="F16" s="21"/>
    </row>
    <row r="17" spans="2:6">
      <c r="B17" s="273" t="s">
        <v>652</v>
      </c>
      <c r="C17" s="269">
        <v>0</v>
      </c>
      <c r="D17" s="274">
        <v>0</v>
      </c>
      <c r="F17" s="21"/>
    </row>
    <row r="18" spans="2:6" ht="15" thickBot="1">
      <c r="B18" s="275"/>
      <c r="C18" s="276">
        <f>SUM(C16:C17)</f>
        <v>0</v>
      </c>
      <c r="D18" s="277">
        <f>SUM(D16:D17)</f>
        <v>4000000</v>
      </c>
      <c r="F18" s="21"/>
    </row>
    <row r="19" spans="2:6">
      <c r="B19" s="268"/>
      <c r="C19" s="301"/>
      <c r="D19" s="301"/>
      <c r="F19" s="21"/>
    </row>
    <row r="20" spans="2:6" ht="15" thickBot="1">
      <c r="B20" s="268" t="s">
        <v>661</v>
      </c>
      <c r="C20" s="301"/>
      <c r="D20" s="301"/>
      <c r="F20" s="21"/>
    </row>
    <row r="21" spans="2:6" s="49" customFormat="1">
      <c r="B21" s="270" t="s">
        <v>171</v>
      </c>
      <c r="C21" s="271" t="s">
        <v>179</v>
      </c>
      <c r="D21" s="272" t="s">
        <v>243</v>
      </c>
      <c r="F21" s="14"/>
    </row>
    <row r="22" spans="2:6">
      <c r="B22" s="273" t="s">
        <v>666</v>
      </c>
      <c r="C22" s="269">
        <v>0</v>
      </c>
      <c r="D22" s="269">
        <v>0</v>
      </c>
      <c r="F22" s="21"/>
    </row>
    <row r="23" spans="2:6">
      <c r="B23" s="273" t="s">
        <v>667</v>
      </c>
      <c r="C23" s="269">
        <v>0</v>
      </c>
      <c r="D23" s="269">
        <v>-449132</v>
      </c>
      <c r="F23" s="21"/>
    </row>
    <row r="24" spans="2:6">
      <c r="B24" s="273" t="s">
        <v>668</v>
      </c>
      <c r="C24" s="269">
        <v>0</v>
      </c>
      <c r="D24" s="269">
        <v>0</v>
      </c>
      <c r="F24" s="21"/>
    </row>
    <row r="25" spans="2:6">
      <c r="B25" s="273" t="s">
        <v>669</v>
      </c>
      <c r="C25" s="269">
        <v>0</v>
      </c>
      <c r="D25" s="48">
        <v>12019938</v>
      </c>
      <c r="F25" s="21"/>
    </row>
    <row r="26" spans="2:6">
      <c r="B26" s="273" t="s">
        <v>670</v>
      </c>
      <c r="C26" s="269">
        <v>0</v>
      </c>
      <c r="D26" s="269">
        <v>0</v>
      </c>
      <c r="F26" s="21"/>
    </row>
    <row r="27" spans="2:6">
      <c r="B27" s="304" t="s">
        <v>682</v>
      </c>
      <c r="C27" s="269">
        <v>0</v>
      </c>
      <c r="D27" s="269">
        <v>-449132</v>
      </c>
      <c r="F27" s="21"/>
    </row>
    <row r="28" spans="2:6">
      <c r="B28" s="273" t="s">
        <v>671</v>
      </c>
      <c r="C28" s="269">
        <v>0</v>
      </c>
      <c r="D28" s="269">
        <v>0</v>
      </c>
      <c r="F28" s="21"/>
    </row>
    <row r="29" spans="2:6">
      <c r="B29" s="273" t="s">
        <v>672</v>
      </c>
      <c r="C29" s="269">
        <v>0</v>
      </c>
      <c r="D29" s="269">
        <v>0</v>
      </c>
      <c r="F29" s="21"/>
    </row>
    <row r="30" spans="2:6">
      <c r="B30" s="273" t="s">
        <v>673</v>
      </c>
      <c r="C30" s="269">
        <v>0</v>
      </c>
      <c r="D30" s="269">
        <v>0</v>
      </c>
      <c r="F30" s="21"/>
    </row>
    <row r="31" spans="2:6">
      <c r="B31" s="302" t="s">
        <v>674</v>
      </c>
      <c r="C31" s="269">
        <v>0</v>
      </c>
      <c r="D31" s="269">
        <v>0</v>
      </c>
      <c r="F31" s="21"/>
    </row>
    <row r="32" spans="2:6" ht="15" thickBot="1">
      <c r="B32" s="275"/>
      <c r="C32" s="276">
        <f>SUM(C22:C31)</f>
        <v>0</v>
      </c>
      <c r="D32" s="276">
        <f>SUM(D22:D31)</f>
        <v>11121674</v>
      </c>
      <c r="F32" s="21"/>
    </row>
    <row r="33" spans="2:6">
      <c r="B33" s="193"/>
      <c r="C33" s="194"/>
      <c r="D33" s="194"/>
      <c r="E33" s="191"/>
    </row>
    <row r="34" spans="2:6">
      <c r="B34" s="180" t="s">
        <v>246</v>
      </c>
      <c r="C34" s="191"/>
      <c r="D34" s="191"/>
      <c r="E34" s="191"/>
    </row>
    <row r="35" spans="2:6">
      <c r="B35" s="191" t="s">
        <v>388</v>
      </c>
      <c r="C35" s="191"/>
      <c r="D35" s="191"/>
      <c r="E35" s="191"/>
    </row>
    <row r="36" spans="2:6">
      <c r="B36" s="191"/>
      <c r="C36" s="191"/>
      <c r="D36" s="191"/>
      <c r="E36" s="191"/>
    </row>
    <row r="37" spans="2:6">
      <c r="B37" s="489" t="s">
        <v>247</v>
      </c>
      <c r="C37" s="489"/>
      <c r="D37" s="191"/>
      <c r="E37" s="191"/>
    </row>
    <row r="38" spans="2:6">
      <c r="B38" s="192"/>
      <c r="C38" s="192"/>
      <c r="D38" s="191"/>
      <c r="E38" s="191"/>
    </row>
    <row r="39" spans="2:6" s="49" customFormat="1" ht="15" thickBot="1">
      <c r="B39" s="483" t="s">
        <v>184</v>
      </c>
      <c r="C39" s="483"/>
      <c r="D39" s="483"/>
      <c r="E39" s="483"/>
      <c r="F39" s="14"/>
    </row>
    <row r="40" spans="2:6" s="49" customFormat="1">
      <c r="B40" s="222" t="s">
        <v>171</v>
      </c>
      <c r="C40" s="223" t="s">
        <v>179</v>
      </c>
      <c r="D40" s="223" t="s">
        <v>243</v>
      </c>
      <c r="F40" s="14"/>
    </row>
    <row r="41" spans="2:6" s="49" customFormat="1">
      <c r="B41" s="68" t="s">
        <v>754</v>
      </c>
      <c r="C41" s="48">
        <v>6012120</v>
      </c>
      <c r="D41" s="48">
        <v>50550</v>
      </c>
      <c r="F41" s="18"/>
    </row>
    <row r="42" spans="2:6" s="49" customFormat="1">
      <c r="B42" s="68" t="s">
        <v>755</v>
      </c>
      <c r="C42" s="48">
        <v>6589282</v>
      </c>
      <c r="D42" s="48">
        <v>2510173</v>
      </c>
      <c r="F42" s="18"/>
    </row>
    <row r="43" spans="2:6" s="49" customFormat="1">
      <c r="B43" s="68" t="s">
        <v>658</v>
      </c>
      <c r="C43" s="48">
        <v>0</v>
      </c>
      <c r="D43" s="69">
        <v>0</v>
      </c>
      <c r="F43" s="18"/>
    </row>
    <row r="44" spans="2:6" s="49" customFormat="1">
      <c r="B44" s="70" t="s">
        <v>208</v>
      </c>
      <c r="C44" s="74">
        <f>SUM(C41:C43)</f>
        <v>12601402</v>
      </c>
      <c r="D44" s="74">
        <f>SUM(D41:D43)</f>
        <v>2560723</v>
      </c>
      <c r="E44" s="22"/>
      <c r="F44" s="19"/>
    </row>
    <row r="45" spans="2:6">
      <c r="B45" s="151"/>
      <c r="C45" s="151"/>
    </row>
    <row r="47" spans="2:6">
      <c r="B47" s="180" t="s">
        <v>249</v>
      </c>
      <c r="C47" s="191"/>
      <c r="D47" s="191"/>
    </row>
    <row r="48" spans="2:6" ht="15" hidden="1" thickBot="1">
      <c r="B48" s="197" t="s">
        <v>414</v>
      </c>
      <c r="C48" s="195"/>
      <c r="D48" s="195"/>
      <c r="F48" s="35"/>
    </row>
    <row r="49" spans="2:9" ht="15" hidden="1" thickBot="1">
      <c r="B49" s="197" t="s">
        <v>415</v>
      </c>
      <c r="C49" s="195"/>
      <c r="D49" s="195"/>
      <c r="F49" s="35"/>
    </row>
    <row r="50" spans="2:9" ht="15" hidden="1" thickBot="1">
      <c r="B50" s="197" t="s">
        <v>416</v>
      </c>
      <c r="C50" s="195"/>
      <c r="D50" s="195"/>
      <c r="F50" s="35"/>
    </row>
    <row r="51" spans="2:9">
      <c r="B51" s="191" t="s">
        <v>388</v>
      </c>
      <c r="C51" s="196"/>
      <c r="D51" s="196"/>
      <c r="F51" s="35"/>
    </row>
    <row r="52" spans="2:9">
      <c r="B52" s="191"/>
      <c r="C52" s="191"/>
      <c r="D52" s="191"/>
    </row>
    <row r="53" spans="2:9">
      <c r="B53" s="491" t="s">
        <v>250</v>
      </c>
      <c r="C53" s="491"/>
      <c r="D53" s="491"/>
    </row>
    <row r="54" spans="2:9">
      <c r="B54" s="181"/>
      <c r="C54" s="191"/>
      <c r="D54" s="191"/>
    </row>
    <row r="55" spans="2:9">
      <c r="B55" s="185" t="s">
        <v>714</v>
      </c>
      <c r="C55" s="179"/>
      <c r="D55" s="179"/>
      <c r="E55" s="49"/>
      <c r="F55" s="354"/>
      <c r="G55" s="318"/>
      <c r="H55" s="36"/>
      <c r="I55" s="36"/>
    </row>
    <row r="56" spans="2:9" ht="15" thickBot="1">
      <c r="B56" s="185"/>
      <c r="C56" s="179"/>
      <c r="D56" s="179"/>
      <c r="E56" s="49"/>
      <c r="F56" s="354"/>
      <c r="G56" s="49"/>
    </row>
    <row r="57" spans="2:9">
      <c r="B57" s="222" t="s">
        <v>715</v>
      </c>
      <c r="C57" s="223" t="s">
        <v>171</v>
      </c>
      <c r="D57" s="223" t="s">
        <v>716</v>
      </c>
      <c r="E57" s="271" t="s">
        <v>179</v>
      </c>
      <c r="F57" s="272" t="s">
        <v>243</v>
      </c>
      <c r="G57" s="49"/>
    </row>
    <row r="58" spans="2:9">
      <c r="B58" s="355" t="s">
        <v>606</v>
      </c>
      <c r="C58" s="68" t="s">
        <v>717</v>
      </c>
      <c r="D58" s="68" t="s">
        <v>402</v>
      </c>
      <c r="E58" s="269">
        <v>0</v>
      </c>
      <c r="F58" s="269">
        <v>4000000</v>
      </c>
      <c r="G58" s="49"/>
    </row>
    <row r="59" spans="2:9" ht="15" thickBot="1">
      <c r="B59" s="356"/>
      <c r="C59" s="70"/>
      <c r="D59" s="70"/>
      <c r="E59" s="357">
        <f>SUM(E58:E58)</f>
        <v>0</v>
      </c>
      <c r="F59" s="358">
        <f>SUM(F58:F58)</f>
        <v>4000000</v>
      </c>
      <c r="G59" s="49"/>
    </row>
    <row r="60" spans="2:9">
      <c r="B60" s="49"/>
      <c r="C60" s="49"/>
      <c r="D60" s="49"/>
      <c r="E60" s="49"/>
      <c r="F60" s="49"/>
      <c r="G60" s="49"/>
    </row>
    <row r="61" spans="2:9">
      <c r="B61" s="8"/>
      <c r="C61" s="49"/>
      <c r="D61" s="49"/>
      <c r="E61" s="49"/>
      <c r="F61" s="354"/>
      <c r="G61" s="49"/>
    </row>
    <row r="62" spans="2:9">
      <c r="B62" s="185" t="s">
        <v>718</v>
      </c>
      <c r="C62" s="359"/>
      <c r="D62" s="360"/>
      <c r="E62" s="49"/>
      <c r="F62" s="354"/>
      <c r="G62" s="49"/>
    </row>
    <row r="63" spans="2:9" ht="15" thickBot="1">
      <c r="B63" s="488" t="s">
        <v>719</v>
      </c>
      <c r="C63" s="488"/>
      <c r="D63" s="488"/>
      <c r="E63" s="488"/>
      <c r="F63" s="488"/>
      <c r="G63" s="49"/>
    </row>
    <row r="64" spans="2:9">
      <c r="B64" s="222" t="s">
        <v>715</v>
      </c>
      <c r="C64" s="223" t="s">
        <v>171</v>
      </c>
      <c r="D64" s="223" t="s">
        <v>716</v>
      </c>
      <c r="E64" s="223" t="s">
        <v>179</v>
      </c>
      <c r="F64" s="223" t="s">
        <v>243</v>
      </c>
      <c r="G64" s="49"/>
    </row>
    <row r="65" spans="2:7">
      <c r="B65" s="68" t="s">
        <v>606</v>
      </c>
      <c r="C65" s="68" t="s">
        <v>720</v>
      </c>
      <c r="D65" s="68" t="s">
        <v>402</v>
      </c>
      <c r="E65" s="48">
        <v>27284</v>
      </c>
      <c r="F65" s="48">
        <v>40414</v>
      </c>
      <c r="G65" s="49"/>
    </row>
    <row r="66" spans="2:7">
      <c r="B66" s="68" t="s">
        <v>607</v>
      </c>
      <c r="C66" s="68" t="s">
        <v>720</v>
      </c>
      <c r="D66" s="68" t="s">
        <v>721</v>
      </c>
      <c r="E66" s="48">
        <v>90072</v>
      </c>
      <c r="F66" s="48">
        <v>79694</v>
      </c>
      <c r="G66" s="49"/>
    </row>
    <row r="67" spans="2:7">
      <c r="B67" s="70" t="s">
        <v>208</v>
      </c>
      <c r="C67" s="70"/>
      <c r="D67" s="70"/>
      <c r="E67" s="74">
        <f>SUM(E65:E66)</f>
        <v>117356</v>
      </c>
      <c r="F67" s="74">
        <f>SUM(F65:F66)</f>
        <v>120108</v>
      </c>
      <c r="G67" s="49"/>
    </row>
    <row r="68" spans="2:7">
      <c r="B68" s="49"/>
      <c r="C68" s="49"/>
      <c r="D68" s="49"/>
      <c r="E68" s="49"/>
      <c r="F68" s="49"/>
      <c r="G68" s="49"/>
    </row>
    <row r="69" spans="2:7" ht="15" thickBot="1">
      <c r="B69" s="488" t="s">
        <v>722</v>
      </c>
      <c r="C69" s="488"/>
      <c r="D69" s="488"/>
      <c r="E69" s="488"/>
      <c r="F69" s="488"/>
      <c r="G69" s="49"/>
    </row>
    <row r="70" spans="2:7">
      <c r="B70" s="222" t="s">
        <v>715</v>
      </c>
      <c r="C70" s="223" t="s">
        <v>171</v>
      </c>
      <c r="D70" s="223" t="s">
        <v>716</v>
      </c>
      <c r="E70" s="223" t="s">
        <v>179</v>
      </c>
      <c r="F70" s="223" t="s">
        <v>243</v>
      </c>
      <c r="G70" s="49"/>
    </row>
    <row r="71" spans="2:7">
      <c r="B71" s="68" t="s">
        <v>606</v>
      </c>
      <c r="C71" s="68" t="s">
        <v>723</v>
      </c>
      <c r="D71" s="68" t="s">
        <v>402</v>
      </c>
      <c r="E71" s="48">
        <v>5454546</v>
      </c>
      <c r="F71" s="48">
        <v>5454546</v>
      </c>
      <c r="G71" s="49"/>
    </row>
    <row r="72" spans="2:7">
      <c r="B72" s="68" t="s">
        <v>607</v>
      </c>
      <c r="C72" s="68" t="s">
        <v>723</v>
      </c>
      <c r="D72" s="68" t="s">
        <v>721</v>
      </c>
      <c r="E72" s="48">
        <v>7272728</v>
      </c>
      <c r="F72" s="48">
        <v>10909091</v>
      </c>
      <c r="G72" s="49"/>
    </row>
    <row r="73" spans="2:7">
      <c r="B73" s="68"/>
      <c r="C73" s="68"/>
      <c r="D73" s="68"/>
      <c r="E73" s="48"/>
      <c r="F73" s="69"/>
      <c r="G73" s="49"/>
    </row>
    <row r="74" spans="2:7">
      <c r="B74" s="70" t="s">
        <v>208</v>
      </c>
      <c r="C74" s="70"/>
      <c r="D74" s="70"/>
      <c r="E74" s="74">
        <f>SUM(E71:E73)</f>
        <v>12727274</v>
      </c>
      <c r="F74" s="74">
        <f>SUM(F71:F73)</f>
        <v>16363637</v>
      </c>
      <c r="G74" s="49"/>
    </row>
    <row r="75" spans="2:7">
      <c r="B75" s="49"/>
      <c r="C75" s="49"/>
      <c r="D75" s="49"/>
      <c r="E75" s="49"/>
      <c r="F75" s="49"/>
      <c r="G75" s="49"/>
    </row>
    <row r="76" spans="2:7">
      <c r="B76" s="49"/>
      <c r="C76" s="49"/>
      <c r="D76" s="49"/>
      <c r="E76" s="49"/>
      <c r="F76" s="49"/>
      <c r="G76" s="49"/>
    </row>
  </sheetData>
  <mergeCells count="7">
    <mergeCell ref="B63:F63"/>
    <mergeCell ref="B69:F69"/>
    <mergeCell ref="B39:E39"/>
    <mergeCell ref="B3:E3"/>
    <mergeCell ref="B13:D13"/>
    <mergeCell ref="B37:C37"/>
    <mergeCell ref="B53:D53"/>
  </mergeCells>
  <pageMargins left="0.70866141732283472" right="0.70866141732283472" top="1.3385826771653544" bottom="0.74803149606299213" header="0.31496062992125984" footer="0.31496062992125984"/>
  <pageSetup paperSize="9" scale="7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3:G107"/>
  <sheetViews>
    <sheetView showGridLines="0" zoomScale="102" zoomScaleNormal="102" workbookViewId="0">
      <selection activeCell="C101" sqref="C101"/>
    </sheetView>
  </sheetViews>
  <sheetFormatPr baseColWidth="10" defaultColWidth="11.44140625" defaultRowHeight="13.8"/>
  <cols>
    <col min="1" max="1" width="5.5546875" style="24" customWidth="1"/>
    <col min="2" max="2" width="55.33203125" style="24" bestFit="1" customWidth="1"/>
    <col min="3" max="3" width="19.44140625" style="24" bestFit="1" customWidth="1"/>
    <col min="4" max="4" width="19.6640625" style="24" bestFit="1" customWidth="1"/>
    <col min="5" max="5" width="15.44140625" style="24" customWidth="1"/>
    <col min="6" max="6" width="14.5546875" style="24" customWidth="1"/>
    <col min="7" max="7" width="17.6640625" style="24" bestFit="1" customWidth="1"/>
    <col min="8" max="8" width="19.5546875" style="24" customWidth="1"/>
    <col min="9" max="16384" width="11.44140625" style="24"/>
  </cols>
  <sheetData>
    <row r="3" spans="2:7">
      <c r="B3" s="189" t="s">
        <v>251</v>
      </c>
      <c r="C3" s="189"/>
      <c r="D3" s="189"/>
      <c r="E3" s="189"/>
      <c r="F3" s="187"/>
      <c r="G3" s="23"/>
    </row>
    <row r="4" spans="2:7" ht="14.4" thickBot="1">
      <c r="B4" s="189"/>
      <c r="C4" s="189"/>
      <c r="D4" s="189"/>
      <c r="E4" s="189"/>
      <c r="F4" s="187"/>
      <c r="G4" s="23"/>
    </row>
    <row r="5" spans="2:7" s="49" customFormat="1" ht="14.4">
      <c r="B5" s="222" t="s">
        <v>171</v>
      </c>
      <c r="C5" s="223" t="s">
        <v>179</v>
      </c>
      <c r="D5" s="223" t="s">
        <v>243</v>
      </c>
      <c r="F5" s="14"/>
    </row>
    <row r="6" spans="2:7" s="49" customFormat="1" ht="14.4">
      <c r="B6" s="68" t="s">
        <v>665</v>
      </c>
      <c r="C6" s="48"/>
      <c r="D6" s="69"/>
      <c r="F6" s="18"/>
    </row>
    <row r="7" spans="2:7" s="49" customFormat="1" ht="14.4">
      <c r="B7" s="70" t="s">
        <v>208</v>
      </c>
      <c r="C7" s="74">
        <f>SUM(C6:C6)</f>
        <v>0</v>
      </c>
      <c r="D7" s="74">
        <f>SUM(D6:D6)</f>
        <v>0</v>
      </c>
      <c r="E7" s="22"/>
      <c r="F7" s="19"/>
    </row>
    <row r="8" spans="2:7">
      <c r="B8" s="492"/>
      <c r="C8" s="492"/>
      <c r="D8" s="492"/>
      <c r="E8" s="492"/>
      <c r="F8" s="179"/>
    </row>
    <row r="9" spans="2:7">
      <c r="B9" s="179"/>
      <c r="C9" s="190"/>
      <c r="D9" s="179"/>
      <c r="E9" s="179"/>
      <c r="F9" s="179"/>
    </row>
    <row r="10" spans="2:7">
      <c r="B10" s="475" t="s">
        <v>252</v>
      </c>
      <c r="C10" s="475"/>
      <c r="D10" s="475"/>
      <c r="E10" s="475"/>
      <c r="F10" s="475"/>
    </row>
    <row r="11" spans="2:7" ht="30" customHeight="1">
      <c r="B11" s="312" t="s">
        <v>171</v>
      </c>
      <c r="C11" s="312" t="s">
        <v>253</v>
      </c>
      <c r="D11" s="312" t="s">
        <v>230</v>
      </c>
      <c r="E11" s="312" t="s">
        <v>254</v>
      </c>
      <c r="F11" s="312" t="s">
        <v>255</v>
      </c>
    </row>
    <row r="12" spans="2:7">
      <c r="B12" s="311" t="s">
        <v>41</v>
      </c>
      <c r="C12" s="308">
        <f>+'Balance General'!G43</f>
        <v>3332300000</v>
      </c>
      <c r="D12" s="308">
        <f>+'Balance General'!F43-'Balance General'!G43</f>
        <v>210600000</v>
      </c>
      <c r="E12" s="308">
        <v>0</v>
      </c>
      <c r="F12" s="308">
        <f>SUM(C12:E12)</f>
        <v>3542900000</v>
      </c>
      <c r="G12" s="25"/>
    </row>
    <row r="13" spans="2:7">
      <c r="B13" s="311" t="s">
        <v>695</v>
      </c>
      <c r="C13" s="308">
        <f>+'Balance General'!G46</f>
        <v>700000000</v>
      </c>
      <c r="D13" s="308">
        <f>+'Balance General'!F46-'Balance General'!G46</f>
        <v>102000000</v>
      </c>
      <c r="E13" s="308">
        <v>0</v>
      </c>
      <c r="F13" s="308">
        <f t="shared" ref="F13:F18" si="0">SUM(C13:E13)</f>
        <v>802000000</v>
      </c>
      <c r="G13" s="25"/>
    </row>
    <row r="14" spans="2:7">
      <c r="B14" s="311" t="s">
        <v>256</v>
      </c>
      <c r="C14" s="308">
        <f>+'Balance General'!G44</f>
        <v>9484301</v>
      </c>
      <c r="D14" s="308">
        <f>+'Balance General'!F44-'Balance General'!G44</f>
        <v>415997</v>
      </c>
      <c r="E14" s="308">
        <v>0</v>
      </c>
      <c r="F14" s="308">
        <f t="shared" si="0"/>
        <v>9900298</v>
      </c>
      <c r="G14" s="25"/>
    </row>
    <row r="15" spans="2:7">
      <c r="B15" s="311" t="s">
        <v>696</v>
      </c>
      <c r="C15" s="308">
        <f>+'Balance General'!G45</f>
        <v>7000000</v>
      </c>
      <c r="D15" s="308">
        <f>+'Balance General'!F45-'Balance General'!G45</f>
        <v>7010438</v>
      </c>
      <c r="E15" s="308"/>
      <c r="F15" s="308">
        <f t="shared" si="0"/>
        <v>14010438</v>
      </c>
      <c r="G15" s="25"/>
    </row>
    <row r="16" spans="2:7" ht="18.75" customHeight="1">
      <c r="B16" s="311" t="s">
        <v>257</v>
      </c>
      <c r="C16" s="308">
        <f>+'Balance General'!G47</f>
        <v>169574314</v>
      </c>
      <c r="D16" s="308">
        <f>+'Balance General'!F47-'Balance General'!G47</f>
        <v>57925</v>
      </c>
      <c r="E16" s="308">
        <v>0</v>
      </c>
      <c r="F16" s="308">
        <f t="shared" si="0"/>
        <v>169632239</v>
      </c>
      <c r="G16" s="25"/>
    </row>
    <row r="17" spans="2:7">
      <c r="B17" s="311" t="s">
        <v>258</v>
      </c>
      <c r="C17" s="308">
        <f>+'Balance General'!G52</f>
        <v>-1402200261</v>
      </c>
      <c r="D17" s="308">
        <f>+'Balance General'!F52-'Balance General'!G52</f>
        <v>45889424</v>
      </c>
      <c r="E17" s="308">
        <v>0</v>
      </c>
      <c r="F17" s="308">
        <f t="shared" si="0"/>
        <v>-1356310837</v>
      </c>
      <c r="G17" s="25"/>
    </row>
    <row r="18" spans="2:7">
      <c r="B18" s="311" t="s">
        <v>259</v>
      </c>
      <c r="C18" s="308">
        <f>+'Balance General'!G53</f>
        <v>223106237</v>
      </c>
      <c r="D18" s="308">
        <v>0</v>
      </c>
      <c r="E18" s="308">
        <f>-C18+'Balance General'!F53</f>
        <v>-360945869</v>
      </c>
      <c r="F18" s="308">
        <f t="shared" si="0"/>
        <v>-137839632</v>
      </c>
      <c r="G18" s="25"/>
    </row>
    <row r="19" spans="2:7">
      <c r="B19" s="309" t="s">
        <v>260</v>
      </c>
      <c r="C19" s="310">
        <f t="shared" ref="C19:E19" si="1">SUM(C12:C18)</f>
        <v>3039264591</v>
      </c>
      <c r="D19" s="310">
        <f t="shared" si="1"/>
        <v>365973784</v>
      </c>
      <c r="E19" s="310">
        <f t="shared" si="1"/>
        <v>-360945869</v>
      </c>
      <c r="F19" s="310">
        <f>SUM(F12:F18)</f>
        <v>3044292506</v>
      </c>
      <c r="G19" s="37"/>
    </row>
    <row r="20" spans="2:7">
      <c r="B20" s="185" t="s">
        <v>261</v>
      </c>
      <c r="C20" s="179"/>
      <c r="D20" s="179"/>
      <c r="E20" s="179"/>
      <c r="F20" s="179"/>
    </row>
    <row r="21" spans="2:7">
      <c r="B21" s="182" t="s">
        <v>388</v>
      </c>
      <c r="C21" s="179"/>
      <c r="D21" s="179"/>
      <c r="E21" s="179"/>
      <c r="F21" s="179"/>
    </row>
    <row r="22" spans="2:7">
      <c r="B22" s="179"/>
      <c r="C22" s="179"/>
      <c r="D22" s="179"/>
      <c r="E22" s="179"/>
      <c r="F22" s="179"/>
    </row>
    <row r="23" spans="2:7">
      <c r="B23" s="475" t="s">
        <v>262</v>
      </c>
      <c r="C23" s="475"/>
      <c r="D23" s="475"/>
      <c r="E23" s="475"/>
      <c r="F23" s="475"/>
    </row>
    <row r="24" spans="2:7">
      <c r="B24" s="185" t="s">
        <v>263</v>
      </c>
      <c r="C24" s="179"/>
      <c r="D24" s="179"/>
      <c r="E24" s="179"/>
      <c r="F24" s="179"/>
    </row>
    <row r="25" spans="2:7">
      <c r="B25" s="478" t="s">
        <v>171</v>
      </c>
      <c r="C25" s="219" t="s">
        <v>265</v>
      </c>
      <c r="D25" s="219" t="s">
        <v>267</v>
      </c>
      <c r="E25" s="179"/>
      <c r="F25" s="179"/>
    </row>
    <row r="26" spans="2:7">
      <c r="B26" s="478"/>
      <c r="C26" s="219" t="s">
        <v>266</v>
      </c>
      <c r="D26" s="219" t="s">
        <v>268</v>
      </c>
      <c r="E26" s="179"/>
      <c r="F26" s="179"/>
    </row>
    <row r="27" spans="2:7" s="258" customFormat="1">
      <c r="B27" s="259" t="s">
        <v>606</v>
      </c>
      <c r="C27" s="261">
        <v>27284</v>
      </c>
      <c r="D27" s="260">
        <v>31336</v>
      </c>
      <c r="E27" s="191"/>
      <c r="F27" s="191"/>
    </row>
    <row r="28" spans="2:7" s="258" customFormat="1">
      <c r="B28" s="259" t="s">
        <v>607</v>
      </c>
      <c r="C28" s="261">
        <v>90072</v>
      </c>
      <c r="D28" s="260">
        <v>32064</v>
      </c>
      <c r="E28" s="191"/>
      <c r="F28" s="191"/>
    </row>
    <row r="29" spans="2:7" s="258" customFormat="1">
      <c r="B29" s="160" t="s">
        <v>208</v>
      </c>
      <c r="C29" s="262">
        <f>SUM(C27:C28)</f>
        <v>117356</v>
      </c>
      <c r="D29" s="262">
        <f>SUM(D27:D28)</f>
        <v>63400</v>
      </c>
      <c r="E29" s="191"/>
      <c r="F29" s="191"/>
    </row>
    <row r="30" spans="2:7">
      <c r="B30" s="183"/>
      <c r="C30" s="179"/>
      <c r="D30" s="179"/>
      <c r="E30" s="179"/>
      <c r="F30" s="179"/>
    </row>
    <row r="31" spans="2:7">
      <c r="B31" s="179"/>
      <c r="C31" s="179"/>
      <c r="D31" s="179"/>
      <c r="E31" s="179"/>
      <c r="F31" s="179"/>
    </row>
    <row r="32" spans="2:7">
      <c r="B32" s="184" t="s">
        <v>264</v>
      </c>
      <c r="C32" s="179"/>
      <c r="D32" s="179"/>
      <c r="E32" s="179"/>
      <c r="F32" s="179"/>
    </row>
    <row r="33" spans="2:7">
      <c r="B33" s="183" t="s">
        <v>184</v>
      </c>
      <c r="C33" s="179"/>
      <c r="D33" s="179"/>
      <c r="E33" s="179"/>
      <c r="F33" s="179"/>
    </row>
    <row r="34" spans="2:7">
      <c r="B34" s="478" t="s">
        <v>171</v>
      </c>
      <c r="C34" s="219" t="s">
        <v>265</v>
      </c>
      <c r="D34" s="219" t="s">
        <v>267</v>
      </c>
    </row>
    <row r="35" spans="2:7">
      <c r="B35" s="478"/>
      <c r="C35" s="219" t="s">
        <v>266</v>
      </c>
      <c r="D35" s="219" t="s">
        <v>268</v>
      </c>
    </row>
    <row r="36" spans="2:7">
      <c r="B36" s="68" t="s">
        <v>269</v>
      </c>
      <c r="C36" s="48">
        <v>4208717</v>
      </c>
      <c r="D36" s="69">
        <v>2958000</v>
      </c>
      <c r="E36" s="39"/>
      <c r="F36" s="26"/>
    </row>
    <row r="37" spans="2:7">
      <c r="B37" s="68" t="s">
        <v>270</v>
      </c>
      <c r="C37" s="48">
        <v>43386463</v>
      </c>
      <c r="D37" s="69">
        <v>12730593</v>
      </c>
      <c r="F37" s="26"/>
    </row>
    <row r="38" spans="2:7">
      <c r="B38" s="68" t="s">
        <v>351</v>
      </c>
      <c r="C38" s="48">
        <v>18386937</v>
      </c>
      <c r="D38" s="69">
        <v>1705624</v>
      </c>
      <c r="E38" s="363"/>
      <c r="F38" s="26"/>
      <c r="G38" s="29"/>
    </row>
    <row r="39" spans="2:7">
      <c r="B39" s="68" t="s">
        <v>353</v>
      </c>
      <c r="C39" s="48">
        <v>35970000</v>
      </c>
      <c r="D39" s="69">
        <v>104884682</v>
      </c>
      <c r="E39" s="363"/>
      <c r="F39" s="26"/>
      <c r="G39" s="29"/>
    </row>
    <row r="40" spans="2:7">
      <c r="B40" s="68" t="s">
        <v>352</v>
      </c>
      <c r="C40" s="48">
        <v>0</v>
      </c>
      <c r="D40" s="69">
        <v>149758000</v>
      </c>
      <c r="E40" s="363"/>
      <c r="F40" s="26"/>
      <c r="G40" s="29"/>
    </row>
    <row r="41" spans="2:7">
      <c r="B41" s="68" t="s">
        <v>271</v>
      </c>
      <c r="C41" s="48">
        <v>0</v>
      </c>
      <c r="D41" s="69">
        <v>46827798</v>
      </c>
      <c r="E41" s="363"/>
      <c r="F41" s="26"/>
      <c r="G41" s="29"/>
    </row>
    <row r="42" spans="2:7">
      <c r="B42" s="70" t="s">
        <v>208</v>
      </c>
      <c r="C42" s="74">
        <f>SUM(C36:C41)</f>
        <v>101952117</v>
      </c>
      <c r="D42" s="74">
        <f>SUM(D36:D41)</f>
        <v>318864697</v>
      </c>
      <c r="E42" s="29"/>
      <c r="F42" s="364"/>
      <c r="G42" s="365"/>
    </row>
    <row r="45" spans="2:7">
      <c r="B45" s="185" t="s">
        <v>272</v>
      </c>
    </row>
    <row r="46" spans="2:7">
      <c r="B46" s="178" t="s">
        <v>273</v>
      </c>
    </row>
    <row r="47" spans="2:7">
      <c r="B47" s="182" t="s">
        <v>184</v>
      </c>
    </row>
    <row r="48" spans="2:7">
      <c r="B48" s="461" t="s">
        <v>248</v>
      </c>
      <c r="C48" s="218" t="s">
        <v>274</v>
      </c>
      <c r="D48" s="221" t="s">
        <v>279</v>
      </c>
    </row>
    <row r="49" spans="2:6">
      <c r="B49" s="461"/>
      <c r="C49" s="218" t="s">
        <v>155</v>
      </c>
      <c r="D49" s="221" t="s">
        <v>275</v>
      </c>
    </row>
    <row r="50" spans="2:6">
      <c r="B50" s="71" t="s">
        <v>276</v>
      </c>
      <c r="C50" s="67">
        <v>3927064</v>
      </c>
      <c r="D50" s="67">
        <v>10353381</v>
      </c>
      <c r="F50" s="27"/>
    </row>
    <row r="51" spans="2:6">
      <c r="B51" s="71" t="s">
        <v>324</v>
      </c>
      <c r="C51" s="67">
        <v>481419</v>
      </c>
      <c r="D51" s="67">
        <v>546337</v>
      </c>
      <c r="F51" s="27"/>
    </row>
    <row r="52" spans="2:6">
      <c r="B52" s="71" t="s">
        <v>756</v>
      </c>
      <c r="C52" s="67">
        <v>11077500</v>
      </c>
      <c r="D52" s="67">
        <v>10351500</v>
      </c>
      <c r="F52" s="27"/>
    </row>
    <row r="53" spans="2:6">
      <c r="B53" s="71" t="s">
        <v>277</v>
      </c>
      <c r="C53" s="67"/>
      <c r="D53" s="67">
        <v>0</v>
      </c>
      <c r="F53" s="27"/>
    </row>
    <row r="54" spans="2:6">
      <c r="B54" s="71" t="s">
        <v>278</v>
      </c>
      <c r="C54" s="67"/>
      <c r="D54" s="67">
        <v>2641530</v>
      </c>
      <c r="F54" s="27"/>
    </row>
    <row r="55" spans="2:6">
      <c r="B55" s="72" t="s">
        <v>260</v>
      </c>
      <c r="C55" s="73">
        <f>SUM(C50:C54)</f>
        <v>15485983</v>
      </c>
      <c r="D55" s="73">
        <f>SUM(D50:D54)</f>
        <v>23892748</v>
      </c>
      <c r="F55" s="28"/>
    </row>
    <row r="57" spans="2:6">
      <c r="B57" s="282" t="s">
        <v>662</v>
      </c>
    </row>
    <row r="58" spans="2:6" ht="14.4" thickBot="1">
      <c r="B58" s="283" t="s">
        <v>184</v>
      </c>
    </row>
    <row r="59" spans="2:6">
      <c r="B59" s="493" t="s">
        <v>248</v>
      </c>
      <c r="C59" s="293" t="s">
        <v>274</v>
      </c>
      <c r="D59" s="294" t="s">
        <v>279</v>
      </c>
    </row>
    <row r="60" spans="2:6" ht="14.4" thickBot="1">
      <c r="B60" s="494"/>
      <c r="C60" s="295" t="s">
        <v>155</v>
      </c>
      <c r="D60" s="296" t="s">
        <v>275</v>
      </c>
    </row>
    <row r="61" spans="2:6" ht="14.4" thickBot="1">
      <c r="B61" s="284" t="s">
        <v>757</v>
      </c>
      <c r="C61" s="291">
        <v>4680593</v>
      </c>
      <c r="D61" s="285">
        <v>1379642</v>
      </c>
      <c r="F61" s="28"/>
    </row>
    <row r="62" spans="2:6" ht="14.4" thickBot="1">
      <c r="B62" s="284" t="s">
        <v>758</v>
      </c>
      <c r="C62" s="291">
        <v>4453387</v>
      </c>
      <c r="D62" s="286">
        <v>1748756</v>
      </c>
      <c r="F62" s="27"/>
    </row>
    <row r="63" spans="2:6" ht="14.4" thickBot="1">
      <c r="B63" s="284"/>
      <c r="C63" s="291"/>
      <c r="D63" s="287">
        <v>0</v>
      </c>
      <c r="F63" s="28"/>
    </row>
    <row r="64" spans="2:6" ht="14.4" thickBot="1">
      <c r="B64" s="288" t="s">
        <v>260</v>
      </c>
      <c r="C64" s="291">
        <f>SUM(C61:C63)</f>
        <v>9133980</v>
      </c>
      <c r="D64" s="291">
        <f>SUM(D61:D63)</f>
        <v>3128398</v>
      </c>
      <c r="F64" s="28"/>
    </row>
    <row r="65" spans="2:7">
      <c r="B65" s="289"/>
      <c r="C65" s="292"/>
      <c r="D65" s="290"/>
      <c r="F65" s="28"/>
    </row>
    <row r="66" spans="2:7">
      <c r="B66" s="178" t="s">
        <v>280</v>
      </c>
      <c r="F66" s="29"/>
    </row>
    <row r="67" spans="2:7">
      <c r="B67" s="182" t="s">
        <v>184</v>
      </c>
    </row>
    <row r="68" spans="2:7">
      <c r="B68" s="461" t="s">
        <v>248</v>
      </c>
      <c r="C68" s="218" t="s">
        <v>274</v>
      </c>
      <c r="D68" s="221" t="s">
        <v>279</v>
      </c>
    </row>
    <row r="69" spans="2:7">
      <c r="B69" s="461"/>
      <c r="C69" s="218" t="s">
        <v>155</v>
      </c>
      <c r="D69" s="221" t="s">
        <v>275</v>
      </c>
    </row>
    <row r="70" spans="2:7">
      <c r="B70" s="71" t="s">
        <v>281</v>
      </c>
      <c r="C70" s="67">
        <v>40000</v>
      </c>
      <c r="D70" s="67">
        <v>255000</v>
      </c>
    </row>
    <row r="71" spans="2:7">
      <c r="B71" s="71" t="s">
        <v>291</v>
      </c>
      <c r="C71" s="67">
        <v>930435</v>
      </c>
      <c r="D71" s="67">
        <v>338115</v>
      </c>
    </row>
    <row r="72" spans="2:7">
      <c r="B72" s="71" t="s">
        <v>684</v>
      </c>
      <c r="C72" s="67">
        <v>57610667</v>
      </c>
      <c r="D72" s="67">
        <v>0</v>
      </c>
    </row>
    <row r="73" spans="2:7">
      <c r="B73" s="71" t="s">
        <v>770</v>
      </c>
      <c r="C73" s="67">
        <v>2297715</v>
      </c>
      <c r="D73" s="67">
        <v>0</v>
      </c>
    </row>
    <row r="74" spans="2:7">
      <c r="B74" s="72" t="s">
        <v>260</v>
      </c>
      <c r="C74" s="73">
        <f>SUM(C70:C73)</f>
        <v>60878817</v>
      </c>
      <c r="D74" s="73">
        <f>SUM(D70:D73)</f>
        <v>593115</v>
      </c>
    </row>
    <row r="77" spans="2:7">
      <c r="B77" s="178" t="s">
        <v>282</v>
      </c>
    </row>
    <row r="78" spans="2:7">
      <c r="B78" s="182" t="s">
        <v>184</v>
      </c>
      <c r="G78" s="37"/>
    </row>
    <row r="79" spans="2:7">
      <c r="B79" s="461" t="s">
        <v>248</v>
      </c>
      <c r="C79" s="218" t="s">
        <v>274</v>
      </c>
      <c r="D79" s="221" t="s">
        <v>279</v>
      </c>
      <c r="G79" s="37"/>
    </row>
    <row r="80" spans="2:7">
      <c r="B80" s="461"/>
      <c r="C80" s="218" t="s">
        <v>155</v>
      </c>
      <c r="D80" s="221" t="s">
        <v>275</v>
      </c>
      <c r="G80" s="37"/>
    </row>
    <row r="81" spans="2:7">
      <c r="B81" s="68" t="s">
        <v>743</v>
      </c>
      <c r="C81" s="48">
        <v>59340660</v>
      </c>
      <c r="D81" s="48">
        <v>59340660</v>
      </c>
      <c r="E81" s="37"/>
      <c r="G81" s="37"/>
    </row>
    <row r="82" spans="2:7">
      <c r="B82" s="68" t="s">
        <v>283</v>
      </c>
      <c r="C82" s="48">
        <v>9791208</v>
      </c>
      <c r="D82" s="48">
        <v>9791208</v>
      </c>
      <c r="G82" s="37"/>
    </row>
    <row r="83" spans="2:7">
      <c r="B83" s="68" t="s">
        <v>284</v>
      </c>
      <c r="C83" s="48">
        <v>0</v>
      </c>
      <c r="D83" s="48">
        <v>6398120</v>
      </c>
      <c r="G83" s="37"/>
    </row>
    <row r="84" spans="2:7">
      <c r="B84" s="68" t="s">
        <v>285</v>
      </c>
      <c r="C84" s="48">
        <v>0</v>
      </c>
      <c r="D84" s="48">
        <v>0</v>
      </c>
      <c r="G84" s="37"/>
    </row>
    <row r="85" spans="2:7">
      <c r="B85" s="68" t="s">
        <v>286</v>
      </c>
      <c r="C85" s="48">
        <v>0</v>
      </c>
      <c r="D85" s="48">
        <v>0</v>
      </c>
    </row>
    <row r="86" spans="2:7">
      <c r="B86" s="68" t="s">
        <v>287</v>
      </c>
      <c r="C86" s="48">
        <v>12727274</v>
      </c>
      <c r="D86" s="48">
        <v>18181819</v>
      </c>
    </row>
    <row r="87" spans="2:7">
      <c r="B87" s="68" t="s">
        <v>288</v>
      </c>
      <c r="C87" s="48">
        <v>59696575</v>
      </c>
      <c r="D87" s="48">
        <v>51863727</v>
      </c>
    </row>
    <row r="88" spans="2:7">
      <c r="B88" s="68" t="s">
        <v>769</v>
      </c>
      <c r="C88" s="48">
        <v>3967699</v>
      </c>
      <c r="D88" s="48">
        <v>0</v>
      </c>
    </row>
    <row r="89" spans="2:7">
      <c r="B89" s="68" t="s">
        <v>289</v>
      </c>
      <c r="C89" s="48">
        <v>0</v>
      </c>
      <c r="D89" s="48">
        <v>0</v>
      </c>
    </row>
    <row r="90" spans="2:7">
      <c r="B90" s="68" t="s">
        <v>328</v>
      </c>
      <c r="C90" s="48">
        <v>0</v>
      </c>
      <c r="D90" s="48">
        <v>0</v>
      </c>
      <c r="F90" s="40"/>
    </row>
    <row r="91" spans="2:7">
      <c r="B91" s="68" t="s">
        <v>290</v>
      </c>
      <c r="C91" s="48">
        <v>13636365</v>
      </c>
      <c r="D91" s="48">
        <v>13727274</v>
      </c>
    </row>
    <row r="92" spans="2:7">
      <c r="B92" s="68" t="s">
        <v>354</v>
      </c>
      <c r="C92" s="48">
        <v>3971536</v>
      </c>
      <c r="D92" s="48">
        <v>2952842</v>
      </c>
    </row>
    <row r="93" spans="2:7">
      <c r="B93" s="68" t="s">
        <v>292</v>
      </c>
      <c r="C93" s="48">
        <v>216172</v>
      </c>
      <c r="D93" s="48">
        <v>1196341</v>
      </c>
    </row>
    <row r="94" spans="2:7">
      <c r="B94" s="68" t="s">
        <v>293</v>
      </c>
      <c r="C94" s="48"/>
      <c r="D94" s="48">
        <v>50440</v>
      </c>
    </row>
    <row r="95" spans="2:7">
      <c r="B95" s="68" t="s">
        <v>294</v>
      </c>
      <c r="C95" s="48"/>
      <c r="D95" s="48">
        <v>0</v>
      </c>
    </row>
    <row r="96" spans="2:7">
      <c r="B96" s="68" t="s">
        <v>355</v>
      </c>
      <c r="C96" s="48">
        <v>431508</v>
      </c>
      <c r="D96" s="48">
        <v>0</v>
      </c>
    </row>
    <row r="97" spans="2:6">
      <c r="B97" s="68" t="s">
        <v>327</v>
      </c>
      <c r="C97" s="48">
        <v>0</v>
      </c>
      <c r="D97" s="48">
        <v>0</v>
      </c>
    </row>
    <row r="98" spans="2:6">
      <c r="B98" s="68" t="s">
        <v>295</v>
      </c>
      <c r="C98" s="48">
        <v>0</v>
      </c>
      <c r="D98" s="48">
        <v>0</v>
      </c>
    </row>
    <row r="99" spans="2:6">
      <c r="B99" s="68" t="s">
        <v>296</v>
      </c>
      <c r="C99" s="48">
        <v>550880</v>
      </c>
      <c r="D99" s="48">
        <v>6000</v>
      </c>
    </row>
    <row r="100" spans="2:6">
      <c r="B100" s="68" t="s">
        <v>297</v>
      </c>
      <c r="C100" s="48">
        <v>0</v>
      </c>
      <c r="D100" s="48">
        <v>0</v>
      </c>
    </row>
    <row r="101" spans="2:6">
      <c r="B101" s="68" t="s">
        <v>298</v>
      </c>
      <c r="C101" s="48">
        <v>20786890</v>
      </c>
      <c r="D101" s="48">
        <v>14126466</v>
      </c>
    </row>
    <row r="102" spans="2:6">
      <c r="B102" s="68" t="s">
        <v>299</v>
      </c>
      <c r="C102" s="48"/>
      <c r="D102" s="48">
        <v>0</v>
      </c>
    </row>
    <row r="103" spans="2:6">
      <c r="B103" s="70" t="s">
        <v>260</v>
      </c>
      <c r="C103" s="74">
        <f>SUM(C81:C102)</f>
        <v>185116767</v>
      </c>
      <c r="D103" s="74">
        <f>SUM(D81:D102)</f>
        <v>177634897</v>
      </c>
      <c r="F103" s="39"/>
    </row>
    <row r="104" spans="2:6">
      <c r="B104" s="30"/>
      <c r="C104" s="19"/>
      <c r="D104" s="19"/>
    </row>
    <row r="105" spans="2:6">
      <c r="B105" s="30"/>
      <c r="C105" s="149"/>
      <c r="D105" s="19"/>
    </row>
    <row r="106" spans="2:6">
      <c r="B106" s="30"/>
      <c r="C106" s="19"/>
      <c r="D106" s="19"/>
    </row>
    <row r="107" spans="2:6">
      <c r="B107" s="30"/>
      <c r="C107" s="19"/>
      <c r="D107" s="19"/>
    </row>
  </sheetData>
  <mergeCells count="9">
    <mergeCell ref="B68:B69"/>
    <mergeCell ref="B79:B80"/>
    <mergeCell ref="B8:E8"/>
    <mergeCell ref="B10:F10"/>
    <mergeCell ref="B23:F23"/>
    <mergeCell ref="B34:B35"/>
    <mergeCell ref="B48:B49"/>
    <mergeCell ref="B25:B26"/>
    <mergeCell ref="B59:B60"/>
  </mergeCells>
  <pageMargins left="0.70866141732283472" right="0.70866141732283472" top="1.3385826771653544" bottom="0.74803149606299213" header="0.31496062992125984" footer="0.31496062992125984"/>
  <pageSetup paperSize="9" scale="5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2:F39"/>
  <sheetViews>
    <sheetView showGridLines="0" topLeftCell="A19" zoomScale="102" zoomScaleNormal="102" workbookViewId="0">
      <selection activeCell="C28" sqref="C28"/>
    </sheetView>
  </sheetViews>
  <sheetFormatPr baseColWidth="10" defaultColWidth="10.6640625" defaultRowHeight="14.4"/>
  <cols>
    <col min="1" max="1" width="4.6640625" customWidth="1"/>
    <col min="2" max="2" width="39.44140625" customWidth="1"/>
    <col min="3" max="3" width="20.5546875" customWidth="1"/>
    <col min="4" max="4" width="23" customWidth="1"/>
    <col min="5" max="5" width="16.33203125" customWidth="1"/>
    <col min="8" max="8" width="16.5546875" customWidth="1"/>
    <col min="9" max="9" width="15.5546875" customWidth="1"/>
  </cols>
  <sheetData>
    <row r="2" spans="2:6" s="49" customFormat="1"/>
    <row r="3" spans="2:6">
      <c r="B3" s="484" t="s">
        <v>300</v>
      </c>
      <c r="C3" s="484"/>
      <c r="D3" s="484"/>
      <c r="E3" s="484"/>
      <c r="F3" s="484"/>
    </row>
    <row r="4" spans="2:6">
      <c r="B4" s="483" t="s">
        <v>184</v>
      </c>
      <c r="C4" s="483"/>
      <c r="D4" s="483"/>
      <c r="E4" s="483"/>
      <c r="F4" s="483"/>
    </row>
    <row r="5" spans="2:6">
      <c r="B5" s="188" t="s">
        <v>410</v>
      </c>
      <c r="C5" s="188"/>
      <c r="D5" s="188"/>
      <c r="E5" s="187"/>
      <c r="F5" s="179"/>
    </row>
    <row r="6" spans="2:6">
      <c r="B6" s="165"/>
      <c r="C6" s="165"/>
      <c r="D6" s="165"/>
      <c r="E6" s="53"/>
    </row>
    <row r="7" spans="2:6" ht="25.2" customHeight="1">
      <c r="B7" s="215" t="s">
        <v>248</v>
      </c>
      <c r="C7" s="216" t="s">
        <v>238</v>
      </c>
      <c r="D7" s="216" t="s">
        <v>301</v>
      </c>
    </row>
    <row r="8" spans="2:6">
      <c r="B8" s="166" t="s">
        <v>676</v>
      </c>
      <c r="C8" s="167">
        <v>-97752</v>
      </c>
      <c r="D8" s="167">
        <v>0</v>
      </c>
    </row>
    <row r="9" spans="2:6">
      <c r="B9" s="166" t="s">
        <v>677</v>
      </c>
      <c r="C9" s="167">
        <v>332586</v>
      </c>
      <c r="D9" s="167">
        <v>0</v>
      </c>
    </row>
    <row r="10" spans="2:6">
      <c r="B10" s="166" t="s">
        <v>678</v>
      </c>
      <c r="C10" s="167">
        <v>0</v>
      </c>
      <c r="D10" s="167">
        <v>0</v>
      </c>
    </row>
    <row r="11" spans="2:6">
      <c r="B11" s="166" t="s">
        <v>679</v>
      </c>
      <c r="C11" s="167"/>
      <c r="D11" s="167">
        <v>0</v>
      </c>
    </row>
    <row r="12" spans="2:6">
      <c r="B12" s="166"/>
      <c r="C12" s="167"/>
      <c r="D12" s="167"/>
    </row>
    <row r="13" spans="2:6">
      <c r="B13" s="168" t="s">
        <v>302</v>
      </c>
      <c r="C13" s="169">
        <f>SUM(C8:C12)</f>
        <v>234834</v>
      </c>
      <c r="D13" s="169">
        <f>SUM(D8:D12)</f>
        <v>0</v>
      </c>
    </row>
    <row r="14" spans="2:6">
      <c r="B14" s="159"/>
      <c r="C14" s="159"/>
      <c r="D14" s="159"/>
    </row>
    <row r="15" spans="2:6">
      <c r="B15" s="158" t="s">
        <v>387</v>
      </c>
      <c r="C15" s="159"/>
      <c r="D15" s="159"/>
    </row>
    <row r="16" spans="2:6" ht="28.8">
      <c r="B16" s="215" t="s">
        <v>248</v>
      </c>
      <c r="C16" s="216" t="s">
        <v>238</v>
      </c>
      <c r="D16" s="216" t="s">
        <v>301</v>
      </c>
    </row>
    <row r="17" spans="2:6">
      <c r="B17" s="170" t="s">
        <v>386</v>
      </c>
      <c r="C17" s="171">
        <v>0</v>
      </c>
      <c r="D17" s="171"/>
    </row>
    <row r="18" spans="2:6">
      <c r="B18" s="168" t="s">
        <v>302</v>
      </c>
      <c r="C18" s="172">
        <v>0</v>
      </c>
      <c r="D18" s="172">
        <v>0</v>
      </c>
    </row>
    <row r="20" spans="2:6">
      <c r="B20" s="185" t="s">
        <v>303</v>
      </c>
      <c r="C20" s="179"/>
      <c r="D20" s="179"/>
      <c r="E20" s="179"/>
      <c r="F20" s="179"/>
    </row>
    <row r="21" spans="2:6">
      <c r="B21" s="483" t="s">
        <v>184</v>
      </c>
      <c r="C21" s="483"/>
      <c r="D21" s="483"/>
      <c r="E21" s="483"/>
      <c r="F21" s="483"/>
    </row>
    <row r="23" spans="2:6">
      <c r="B23" s="178" t="s">
        <v>411</v>
      </c>
    </row>
    <row r="24" spans="2:6" ht="28.8">
      <c r="B24" s="215" t="s">
        <v>248</v>
      </c>
      <c r="C24" s="216" t="s">
        <v>238</v>
      </c>
      <c r="D24" s="216" t="s">
        <v>301</v>
      </c>
    </row>
    <row r="25" spans="2:6">
      <c r="B25" s="54" t="s">
        <v>683</v>
      </c>
      <c r="C25" s="210">
        <v>2368</v>
      </c>
      <c r="D25" s="210">
        <v>675430</v>
      </c>
    </row>
    <row r="26" spans="2:6">
      <c r="B26" s="54" t="s">
        <v>383</v>
      </c>
      <c r="C26" s="210">
        <v>591180</v>
      </c>
      <c r="D26" s="210">
        <v>5048494</v>
      </c>
    </row>
    <row r="27" spans="2:6">
      <c r="B27" s="307" t="s">
        <v>384</v>
      </c>
      <c r="C27" s="210"/>
      <c r="D27" s="210">
        <v>9305076</v>
      </c>
    </row>
    <row r="28" spans="2:6">
      <c r="B28" s="54" t="s">
        <v>759</v>
      </c>
      <c r="C28" s="150">
        <v>2543496</v>
      </c>
      <c r="D28" s="210">
        <v>1088544</v>
      </c>
    </row>
    <row r="29" spans="2:6">
      <c r="B29" s="55" t="s">
        <v>302</v>
      </c>
      <c r="C29" s="56">
        <f>SUM(C25:C28)</f>
        <v>3137044</v>
      </c>
      <c r="D29" s="57">
        <f>SUM(D25:D28)</f>
        <v>16117544</v>
      </c>
    </row>
    <row r="31" spans="2:6">
      <c r="B31" s="178" t="s">
        <v>412</v>
      </c>
    </row>
    <row r="32" spans="2:6" ht="27.6">
      <c r="B32" s="217" t="s">
        <v>248</v>
      </c>
      <c r="C32" s="218" t="s">
        <v>238</v>
      </c>
      <c r="D32" s="218" t="s">
        <v>301</v>
      </c>
    </row>
    <row r="33" spans="2:4">
      <c r="B33" s="59" t="s">
        <v>680</v>
      </c>
      <c r="C33" s="60">
        <v>0</v>
      </c>
      <c r="D33" s="308">
        <v>0</v>
      </c>
    </row>
    <row r="34" spans="2:4">
      <c r="B34" s="59" t="s">
        <v>681</v>
      </c>
      <c r="C34" s="60"/>
      <c r="D34" s="308">
        <v>0</v>
      </c>
    </row>
    <row r="35" spans="2:4">
      <c r="B35" s="59"/>
      <c r="C35" s="63"/>
      <c r="D35" s="62"/>
    </row>
    <row r="36" spans="2:4">
      <c r="B36" s="64" t="s">
        <v>302</v>
      </c>
      <c r="C36" s="65">
        <f>SUM(C33:C35)</f>
        <v>0</v>
      </c>
      <c r="D36" s="66">
        <f>SUM(D33:D35)</f>
        <v>0</v>
      </c>
    </row>
    <row r="38" spans="2:4">
      <c r="B38" s="178" t="s">
        <v>304</v>
      </c>
    </row>
    <row r="39" spans="2:4">
      <c r="B39" s="182" t="s">
        <v>226</v>
      </c>
    </row>
  </sheetData>
  <mergeCells count="3">
    <mergeCell ref="B3:F3"/>
    <mergeCell ref="B4:F4"/>
    <mergeCell ref="B21:F21"/>
  </mergeCells>
  <pageMargins left="0.70866141732283472" right="0.70866141732283472" top="1.1417322834645669" bottom="0.74803149606299213" header="0.31496062992125984" footer="0.31496062992125984"/>
  <pageSetup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2:E38"/>
  <sheetViews>
    <sheetView showGridLines="0" topLeftCell="A4" zoomScale="99" zoomScaleNormal="99" workbookViewId="0">
      <selection activeCell="D21" sqref="D21"/>
    </sheetView>
  </sheetViews>
  <sheetFormatPr baseColWidth="10" defaultColWidth="10.6640625" defaultRowHeight="14.4"/>
  <cols>
    <col min="1" max="1" width="5" style="49" customWidth="1"/>
    <col min="2" max="2" width="3.33203125" style="112" customWidth="1"/>
    <col min="3" max="3" width="92.44140625" style="49" customWidth="1"/>
    <col min="4" max="4" width="42.6640625" style="49" bestFit="1" customWidth="1"/>
    <col min="5" max="5" width="14.33203125" style="49" customWidth="1"/>
    <col min="6" max="16384" width="10.6640625" style="49"/>
  </cols>
  <sheetData>
    <row r="2" spans="2:5" ht="35.25" customHeight="1">
      <c r="B2" s="102" t="s">
        <v>305</v>
      </c>
      <c r="C2" s="484" t="s">
        <v>306</v>
      </c>
      <c r="D2" s="484"/>
      <c r="E2" s="484"/>
    </row>
    <row r="3" spans="2:5">
      <c r="C3" s="475" t="s">
        <v>307</v>
      </c>
      <c r="D3" s="475"/>
      <c r="E3" s="475"/>
    </row>
    <row r="4" spans="2:5">
      <c r="C4" s="483" t="s">
        <v>388</v>
      </c>
      <c r="D4" s="483"/>
      <c r="E4" s="483"/>
    </row>
    <row r="5" spans="2:5">
      <c r="C5" s="179"/>
      <c r="D5" s="179"/>
      <c r="E5" s="179"/>
    </row>
    <row r="6" spans="2:5">
      <c r="C6" s="475" t="s">
        <v>308</v>
      </c>
      <c r="D6" s="475"/>
      <c r="E6" s="475"/>
    </row>
    <row r="7" spans="2:5">
      <c r="C7" s="483" t="s">
        <v>388</v>
      </c>
      <c r="D7" s="483"/>
      <c r="E7" s="179"/>
    </row>
    <row r="8" spans="2:5" ht="33" customHeight="1">
      <c r="C8" s="484" t="s">
        <v>409</v>
      </c>
      <c r="D8" s="484"/>
      <c r="E8" s="484"/>
    </row>
    <row r="10" spans="2:5">
      <c r="C10" s="496" t="s">
        <v>309</v>
      </c>
      <c r="D10" s="497"/>
    </row>
    <row r="11" spans="2:5">
      <c r="C11" s="400" t="s">
        <v>439</v>
      </c>
      <c r="D11" s="203" t="s">
        <v>440</v>
      </c>
    </row>
    <row r="12" spans="2:5">
      <c r="C12" s="400" t="s">
        <v>441</v>
      </c>
      <c r="D12" s="203">
        <v>1514003173</v>
      </c>
    </row>
    <row r="13" spans="2:5">
      <c r="C13" s="400" t="s">
        <v>442</v>
      </c>
      <c r="D13" s="203" t="s">
        <v>443</v>
      </c>
    </row>
    <row r="14" spans="2:5">
      <c r="C14" s="400" t="s">
        <v>444</v>
      </c>
      <c r="D14" s="203" t="s">
        <v>445</v>
      </c>
    </row>
    <row r="15" spans="2:5">
      <c r="C15" s="400" t="s">
        <v>446</v>
      </c>
      <c r="D15" s="401">
        <v>44987</v>
      </c>
    </row>
    <row r="16" spans="2:5">
      <c r="C16" s="400" t="s">
        <v>447</v>
      </c>
      <c r="D16" s="214">
        <v>44986</v>
      </c>
    </row>
    <row r="17" spans="2:5">
      <c r="C17" s="400" t="s">
        <v>448</v>
      </c>
      <c r="D17" s="214">
        <v>45352</v>
      </c>
    </row>
    <row r="18" spans="2:5">
      <c r="C18" s="400" t="s">
        <v>449</v>
      </c>
      <c r="D18" s="203">
        <v>367</v>
      </c>
    </row>
    <row r="19" spans="2:5">
      <c r="C19" s="400" t="s">
        <v>450</v>
      </c>
      <c r="D19" s="402">
        <v>640000000</v>
      </c>
    </row>
    <row r="21" spans="2:5">
      <c r="B21" s="102" t="s">
        <v>349</v>
      </c>
      <c r="C21" s="378" t="s">
        <v>310</v>
      </c>
      <c r="D21" s="179"/>
      <c r="E21" s="179"/>
    </row>
    <row r="22" spans="2:5" ht="32.25" customHeight="1">
      <c r="C22" s="495" t="s">
        <v>341</v>
      </c>
      <c r="D22" s="495"/>
      <c r="E22" s="495"/>
    </row>
    <row r="23" spans="2:5">
      <c r="C23" s="179"/>
      <c r="D23" s="179"/>
      <c r="E23" s="179"/>
    </row>
    <row r="24" spans="2:5">
      <c r="B24" s="113" t="s">
        <v>311</v>
      </c>
      <c r="C24" s="185" t="s">
        <v>312</v>
      </c>
      <c r="D24" s="179"/>
      <c r="E24" s="179"/>
    </row>
    <row r="25" spans="2:5">
      <c r="C25" s="186" t="s">
        <v>340</v>
      </c>
      <c r="D25" s="179"/>
      <c r="E25" s="179"/>
    </row>
    <row r="26" spans="2:5">
      <c r="C26" s="179"/>
      <c r="D26" s="179"/>
      <c r="E26" s="179"/>
    </row>
    <row r="27" spans="2:5">
      <c r="B27" s="102" t="s">
        <v>350</v>
      </c>
      <c r="C27" s="178" t="s">
        <v>313</v>
      </c>
      <c r="D27" s="179"/>
      <c r="E27" s="179"/>
    </row>
    <row r="28" spans="2:5" ht="26.4">
      <c r="C28" s="182" t="s">
        <v>451</v>
      </c>
      <c r="D28" s="179"/>
      <c r="E28" s="179"/>
    </row>
    <row r="29" spans="2:5">
      <c r="C29" s="179"/>
      <c r="D29" s="179"/>
      <c r="E29" s="179"/>
    </row>
    <row r="30" spans="2:5">
      <c r="B30" s="102" t="s">
        <v>314</v>
      </c>
      <c r="C30" s="187" t="s">
        <v>315</v>
      </c>
      <c r="D30" s="179"/>
      <c r="E30" s="179"/>
    </row>
    <row r="31" spans="2:5">
      <c r="C31" s="182" t="s">
        <v>388</v>
      </c>
      <c r="D31" s="179"/>
      <c r="E31" s="179"/>
    </row>
    <row r="32" spans="2:5">
      <c r="C32" s="179"/>
      <c r="D32" s="179"/>
      <c r="E32" s="179"/>
    </row>
    <row r="33" spans="2:5">
      <c r="B33" s="102" t="s">
        <v>316</v>
      </c>
      <c r="C33" s="178" t="s">
        <v>317</v>
      </c>
      <c r="D33" s="179"/>
      <c r="E33" s="179"/>
    </row>
    <row r="34" spans="2:5">
      <c r="C34" s="186" t="s">
        <v>339</v>
      </c>
      <c r="D34" s="179"/>
      <c r="E34" s="179"/>
    </row>
    <row r="36" spans="2:5">
      <c r="C36" s="152"/>
    </row>
    <row r="37" spans="2:5">
      <c r="C37" s="153"/>
    </row>
    <row r="38" spans="2:5">
      <c r="C38" s="154"/>
    </row>
  </sheetData>
  <mergeCells count="8">
    <mergeCell ref="C22:E22"/>
    <mergeCell ref="C8:E8"/>
    <mergeCell ref="C2:E2"/>
    <mergeCell ref="C3:E3"/>
    <mergeCell ref="C4:E4"/>
    <mergeCell ref="C6:E6"/>
    <mergeCell ref="C7:D7"/>
    <mergeCell ref="C10:D10"/>
  </mergeCells>
  <pageMargins left="0.70866141732283472" right="0.70866141732283472" top="1.3385826771653544" bottom="0.74803149606299213" header="0.31496062992125984" footer="0.31496062992125984"/>
  <pageSetup scale="57" orientation="portrait" r:id="rId1"/>
  <colBreaks count="1" manualBreakCount="1">
    <brk id="2"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3:N268"/>
  <sheetViews>
    <sheetView showGridLines="0" topLeftCell="A61" zoomScale="102" zoomScaleNormal="102" workbookViewId="0">
      <selection activeCell="H248" sqref="H248"/>
    </sheetView>
  </sheetViews>
  <sheetFormatPr baseColWidth="10" defaultColWidth="10.6640625" defaultRowHeight="14.4"/>
  <cols>
    <col min="1" max="1" width="3.6640625" style="49" customWidth="1"/>
    <col min="2" max="2" width="3.44140625" style="49" customWidth="1"/>
    <col min="3" max="3" width="26.33203125" style="49" customWidth="1"/>
    <col min="4" max="4" width="20.6640625" style="49" customWidth="1"/>
    <col min="5" max="5" width="14.33203125" style="49" bestFit="1" customWidth="1"/>
    <col min="6" max="6" width="5.109375" style="49" bestFit="1" customWidth="1"/>
    <col min="7" max="7" width="9.88671875" style="49" bestFit="1" customWidth="1"/>
    <col min="8" max="8" width="7.44140625" style="49" bestFit="1" customWidth="1"/>
    <col min="9" max="9" width="5.44140625" style="241" bestFit="1" customWidth="1"/>
    <col min="10" max="10" width="18.33203125" style="213" bestFit="1" customWidth="1"/>
    <col min="11" max="11" width="15.33203125" style="49" bestFit="1" customWidth="1"/>
    <col min="12" max="12" width="12.109375" style="49" bestFit="1" customWidth="1"/>
    <col min="13" max="13" width="25.6640625" style="49" bestFit="1" customWidth="1"/>
    <col min="14" max="14" width="10.6640625" style="38"/>
    <col min="15" max="16384" width="10.6640625" style="49"/>
  </cols>
  <sheetData>
    <row r="3" spans="2:10">
      <c r="B3" s="414" t="s">
        <v>0</v>
      </c>
      <c r="C3" s="415"/>
      <c r="D3" s="415"/>
      <c r="E3" s="415"/>
      <c r="F3" s="415"/>
      <c r="G3" s="415"/>
      <c r="H3" s="415"/>
      <c r="I3" s="415"/>
      <c r="J3" s="415"/>
    </row>
    <row r="4" spans="2:10">
      <c r="B4" s="416" t="s">
        <v>765</v>
      </c>
      <c r="C4" s="416"/>
      <c r="D4" s="416"/>
      <c r="E4" s="416"/>
      <c r="F4" s="416"/>
      <c r="G4" s="416"/>
      <c r="H4" s="416"/>
      <c r="I4" s="416"/>
      <c r="J4" s="416"/>
    </row>
    <row r="5" spans="2:10" ht="6.6" customHeight="1">
      <c r="I5" s="379"/>
    </row>
    <row r="6" spans="2:10">
      <c r="B6" s="174" t="s">
        <v>389</v>
      </c>
      <c r="C6" s="174"/>
      <c r="D6" s="174"/>
      <c r="E6" s="174"/>
      <c r="F6" s="174"/>
      <c r="G6" s="174"/>
      <c r="H6" s="174"/>
      <c r="I6" s="240"/>
      <c r="J6" s="239"/>
    </row>
    <row r="7" spans="2:10" ht="6" customHeight="1">
      <c r="B7" s="205"/>
      <c r="C7" s="205"/>
      <c r="D7" s="205"/>
      <c r="E7" s="205"/>
      <c r="F7" s="205"/>
      <c r="G7" s="205"/>
      <c r="H7" s="205"/>
      <c r="I7" s="380"/>
    </row>
    <row r="8" spans="2:10">
      <c r="B8" s="336" t="s">
        <v>390</v>
      </c>
      <c r="C8" s="336"/>
      <c r="D8" s="336" t="s">
        <v>445</v>
      </c>
      <c r="E8" s="336"/>
      <c r="F8" s="336"/>
      <c r="G8" s="336"/>
      <c r="H8" s="205"/>
      <c r="I8" s="380"/>
    </row>
    <row r="9" spans="2:10">
      <c r="B9" s="336" t="s">
        <v>398</v>
      </c>
      <c r="C9" s="336"/>
      <c r="D9" s="336" t="s">
        <v>462</v>
      </c>
      <c r="E9" s="336"/>
      <c r="F9" s="336"/>
      <c r="G9" s="336"/>
      <c r="H9" s="205"/>
      <c r="I9" s="380"/>
    </row>
    <row r="10" spans="2:10">
      <c r="B10" s="336" t="s">
        <v>391</v>
      </c>
      <c r="C10" s="336"/>
      <c r="D10" s="336" t="s">
        <v>712</v>
      </c>
      <c r="E10" s="336"/>
      <c r="F10" s="336"/>
      <c r="G10" s="336"/>
      <c r="H10" s="205"/>
      <c r="I10" s="380"/>
    </row>
    <row r="11" spans="2:10">
      <c r="B11" s="336" t="s">
        <v>392</v>
      </c>
      <c r="C11" s="336"/>
      <c r="D11" s="337">
        <v>1</v>
      </c>
      <c r="E11" s="336"/>
      <c r="F11" s="336"/>
      <c r="G11" s="336"/>
      <c r="H11" s="336"/>
      <c r="I11" s="380"/>
    </row>
    <row r="12" spans="2:10">
      <c r="B12" s="336" t="s">
        <v>393</v>
      </c>
      <c r="C12" s="336"/>
      <c r="D12" s="236" t="s">
        <v>463</v>
      </c>
      <c r="E12" s="236"/>
      <c r="F12" s="236"/>
      <c r="G12" s="236"/>
      <c r="H12" s="205"/>
      <c r="I12" s="380"/>
    </row>
    <row r="13" spans="2:10">
      <c r="B13" s="336" t="s">
        <v>394</v>
      </c>
      <c r="C13" s="336"/>
      <c r="D13" s="336" t="s">
        <v>464</v>
      </c>
      <c r="E13" s="336"/>
      <c r="F13" s="336"/>
      <c r="G13" s="336"/>
      <c r="H13" s="205"/>
      <c r="I13" s="380"/>
    </row>
    <row r="14" spans="2:10">
      <c r="B14" s="336" t="s">
        <v>395</v>
      </c>
      <c r="C14" s="336"/>
      <c r="D14" s="336" t="s">
        <v>465</v>
      </c>
      <c r="E14" s="336"/>
      <c r="F14" s="336"/>
      <c r="G14" s="336"/>
      <c r="H14" s="205"/>
      <c r="I14" s="380"/>
    </row>
    <row r="15" spans="2:10">
      <c r="B15" s="336" t="s">
        <v>396</v>
      </c>
      <c r="C15" s="336"/>
      <c r="D15" s="336" t="s">
        <v>466</v>
      </c>
      <c r="E15" s="336"/>
      <c r="F15" s="336"/>
      <c r="G15" s="336"/>
      <c r="H15" s="205"/>
      <c r="I15" s="380"/>
    </row>
    <row r="16" spans="2:10">
      <c r="B16" s="336" t="s">
        <v>397</v>
      </c>
      <c r="C16" s="336"/>
      <c r="D16" s="236" t="s">
        <v>463</v>
      </c>
      <c r="E16" s="236"/>
      <c r="F16" s="236"/>
      <c r="G16" s="236"/>
      <c r="H16" s="205"/>
      <c r="I16" s="380"/>
    </row>
    <row r="17" spans="2:14" ht="8.85" customHeight="1">
      <c r="B17" s="205"/>
      <c r="C17" s="205"/>
      <c r="D17" s="205"/>
      <c r="E17" s="205"/>
      <c r="F17" s="205"/>
      <c r="G17" s="205"/>
      <c r="H17" s="205"/>
      <c r="I17" s="380"/>
    </row>
    <row r="18" spans="2:14">
      <c r="B18" s="174" t="s">
        <v>399</v>
      </c>
      <c r="C18" s="174"/>
      <c r="D18" s="174"/>
      <c r="E18" s="174"/>
      <c r="F18" s="174"/>
      <c r="G18" s="174"/>
      <c r="H18" s="174"/>
      <c r="I18" s="240"/>
      <c r="J18" s="239"/>
    </row>
    <row r="19" spans="2:14" ht="8.85" customHeight="1">
      <c r="B19" s="381"/>
      <c r="C19" s="381"/>
      <c r="D19" s="381"/>
      <c r="E19" s="381"/>
      <c r="F19" s="381"/>
      <c r="G19" s="381"/>
      <c r="H19" s="381"/>
      <c r="I19" s="382"/>
    </row>
    <row r="20" spans="2:14" s="317" customFormat="1" ht="29.4" customHeight="1">
      <c r="B20" s="418" t="s">
        <v>699</v>
      </c>
      <c r="C20" s="418"/>
      <c r="D20" s="418"/>
      <c r="E20" s="418"/>
      <c r="F20" s="418"/>
      <c r="G20" s="418"/>
      <c r="H20" s="418"/>
      <c r="I20" s="418"/>
      <c r="J20" s="418"/>
      <c r="K20" s="428"/>
      <c r="N20" s="383"/>
    </row>
    <row r="21" spans="2:14" s="317" customFormat="1" ht="51.6" customHeight="1">
      <c r="B21" s="419" t="s">
        <v>455</v>
      </c>
      <c r="C21" s="419"/>
      <c r="D21" s="419"/>
      <c r="E21" s="419"/>
      <c r="F21" s="419"/>
      <c r="G21" s="419"/>
      <c r="H21" s="419"/>
      <c r="I21" s="419"/>
      <c r="J21" s="419"/>
      <c r="K21" s="428"/>
      <c r="N21" s="383"/>
    </row>
    <row r="22" spans="2:14" s="317" customFormat="1" ht="29.4" customHeight="1">
      <c r="B22" s="419" t="s">
        <v>144</v>
      </c>
      <c r="C22" s="419"/>
      <c r="D22" s="419"/>
      <c r="E22" s="419"/>
      <c r="F22" s="419"/>
      <c r="G22" s="419"/>
      <c r="H22" s="419"/>
      <c r="I22" s="419"/>
      <c r="J22" s="419"/>
      <c r="K22" s="428"/>
      <c r="N22" s="383"/>
    </row>
    <row r="23" spans="2:14" s="317" customFormat="1" ht="48" customHeight="1">
      <c r="B23" s="419" t="s">
        <v>145</v>
      </c>
      <c r="C23" s="419"/>
      <c r="D23" s="419"/>
      <c r="E23" s="419"/>
      <c r="F23" s="419"/>
      <c r="G23" s="419"/>
      <c r="H23" s="419"/>
      <c r="I23" s="419"/>
      <c r="J23" s="419"/>
      <c r="K23" s="428"/>
      <c r="N23" s="383"/>
    </row>
    <row r="24" spans="2:14" ht="38.1" customHeight="1">
      <c r="B24" s="417" t="s">
        <v>477</v>
      </c>
      <c r="C24" s="417"/>
      <c r="D24" s="417"/>
      <c r="E24" s="417"/>
      <c r="F24" s="417"/>
      <c r="G24" s="417"/>
      <c r="H24" s="417"/>
      <c r="I24" s="417"/>
      <c r="J24" s="417"/>
    </row>
    <row r="25" spans="2:14">
      <c r="B25" s="417"/>
      <c r="C25" s="417"/>
      <c r="D25" s="417"/>
      <c r="E25" s="417"/>
      <c r="F25" s="417"/>
      <c r="G25" s="417"/>
      <c r="H25" s="417"/>
      <c r="I25" s="417"/>
      <c r="J25" s="417"/>
    </row>
    <row r="26" spans="2:14">
      <c r="B26" s="417"/>
      <c r="C26" s="417"/>
      <c r="D26" s="417"/>
      <c r="E26" s="417"/>
      <c r="F26" s="417"/>
      <c r="G26" s="417"/>
      <c r="H26" s="417"/>
      <c r="I26" s="417"/>
      <c r="J26" s="417"/>
    </row>
    <row r="27" spans="2:14" ht="28.5" customHeight="1">
      <c r="B27" s="417"/>
      <c r="C27" s="417"/>
      <c r="D27" s="417"/>
      <c r="E27" s="417"/>
      <c r="F27" s="417"/>
      <c r="G27" s="417"/>
      <c r="H27" s="417"/>
      <c r="I27" s="417"/>
      <c r="J27" s="417"/>
    </row>
    <row r="28" spans="2:14" ht="9.6" customHeight="1">
      <c r="B28" s="2"/>
      <c r="C28" s="420"/>
      <c r="D28" s="420"/>
      <c r="E28" s="420"/>
      <c r="F28" s="420"/>
      <c r="G28" s="420"/>
      <c r="H28" s="420"/>
      <c r="I28" s="420"/>
    </row>
    <row r="29" spans="2:14">
      <c r="B29" s="174" t="s">
        <v>400</v>
      </c>
      <c r="C29" s="174"/>
      <c r="D29" s="174"/>
      <c r="E29" s="174"/>
      <c r="F29" s="174"/>
      <c r="G29" s="174"/>
      <c r="H29" s="174"/>
      <c r="I29" s="240"/>
      <c r="J29" s="239"/>
    </row>
    <row r="30" spans="2:14">
      <c r="B30" s="2"/>
      <c r="C30" s="373"/>
    </row>
    <row r="31" spans="2:14">
      <c r="B31" s="421" t="s">
        <v>1</v>
      </c>
      <c r="C31" s="421"/>
      <c r="D31" s="372" t="s">
        <v>2</v>
      </c>
      <c r="E31" s="372"/>
      <c r="F31" s="372"/>
      <c r="G31" s="372"/>
      <c r="H31" s="372"/>
      <c r="I31" s="242"/>
    </row>
    <row r="32" spans="2:14">
      <c r="B32" s="421" t="s">
        <v>401</v>
      </c>
      <c r="C32" s="421"/>
      <c r="D32" s="421"/>
      <c r="E32" s="372"/>
      <c r="F32" s="372"/>
      <c r="G32" s="372"/>
      <c r="H32" s="175"/>
      <c r="I32" s="243"/>
    </row>
    <row r="33" spans="2:10" ht="14.85" customHeight="1">
      <c r="B33" s="422" t="s">
        <v>402</v>
      </c>
      <c r="C33" s="422"/>
      <c r="D33" s="417" t="s">
        <v>467</v>
      </c>
      <c r="E33" s="417"/>
      <c r="F33" s="417"/>
      <c r="G33" s="417"/>
      <c r="H33" s="417"/>
      <c r="I33" s="417"/>
    </row>
    <row r="34" spans="2:10" ht="14.85" customHeight="1">
      <c r="B34" s="422" t="s">
        <v>403</v>
      </c>
      <c r="C34" s="422"/>
      <c r="D34" s="417" t="s">
        <v>468</v>
      </c>
      <c r="E34" s="417"/>
      <c r="F34" s="417"/>
      <c r="G34" s="417"/>
      <c r="H34" s="417"/>
      <c r="I34" s="417"/>
    </row>
    <row r="35" spans="2:10" ht="14.85" customHeight="1">
      <c r="B35" s="422" t="s">
        <v>470</v>
      </c>
      <c r="C35" s="422"/>
      <c r="D35" s="417" t="s">
        <v>469</v>
      </c>
      <c r="E35" s="417"/>
      <c r="F35" s="417"/>
      <c r="G35" s="417"/>
      <c r="H35" s="417"/>
      <c r="I35" s="417"/>
    </row>
    <row r="36" spans="2:10" ht="14.85" customHeight="1">
      <c r="B36" s="422" t="s">
        <v>471</v>
      </c>
      <c r="C36" s="422"/>
      <c r="D36" s="376" t="s">
        <v>472</v>
      </c>
      <c r="E36" s="376"/>
      <c r="F36" s="376"/>
      <c r="G36" s="376"/>
      <c r="H36" s="376"/>
      <c r="I36" s="244"/>
    </row>
    <row r="37" spans="2:10" ht="14.85" customHeight="1">
      <c r="B37" s="422" t="s">
        <v>471</v>
      </c>
      <c r="C37" s="423"/>
      <c r="D37" s="376" t="s">
        <v>473</v>
      </c>
      <c r="E37" s="376"/>
      <c r="F37" s="376"/>
      <c r="G37" s="376"/>
      <c r="H37" s="376"/>
      <c r="I37" s="244"/>
    </row>
    <row r="38" spans="2:10" ht="6.6" customHeight="1">
      <c r="B38" s="377"/>
      <c r="C38" s="377"/>
      <c r="D38" s="376"/>
      <c r="E38" s="376"/>
      <c r="F38" s="376"/>
      <c r="G38" s="376"/>
      <c r="H38" s="376"/>
      <c r="I38" s="244"/>
    </row>
    <row r="39" spans="2:10" ht="16.350000000000001" customHeight="1">
      <c r="B39" s="421" t="s">
        <v>378</v>
      </c>
      <c r="C39" s="421"/>
      <c r="D39" s="417" t="s">
        <v>474</v>
      </c>
      <c r="E39" s="417"/>
      <c r="F39" s="417"/>
      <c r="G39" s="417"/>
      <c r="H39" s="417"/>
      <c r="I39" s="244"/>
    </row>
    <row r="40" spans="2:10" ht="16.350000000000001" customHeight="1">
      <c r="B40" s="421" t="s">
        <v>475</v>
      </c>
      <c r="C40" s="421"/>
      <c r="D40" s="417" t="s">
        <v>476</v>
      </c>
      <c r="E40" s="417"/>
      <c r="F40" s="417"/>
      <c r="G40" s="417"/>
      <c r="H40" s="417"/>
      <c r="I40" s="244"/>
    </row>
    <row r="41" spans="2:10" ht="6.6" customHeight="1">
      <c r="B41" s="377"/>
      <c r="C41" s="377"/>
      <c r="D41" s="376"/>
      <c r="E41" s="376"/>
      <c r="F41" s="376"/>
      <c r="G41" s="376"/>
      <c r="H41" s="376"/>
      <c r="I41" s="244"/>
    </row>
    <row r="42" spans="2:10" ht="14.85" customHeight="1">
      <c r="B42" s="421" t="s">
        <v>404</v>
      </c>
      <c r="C42" s="421"/>
      <c r="D42" s="176"/>
      <c r="E42" s="176"/>
      <c r="F42" s="176"/>
      <c r="G42" s="176"/>
      <c r="H42" s="176"/>
      <c r="I42" s="245"/>
    </row>
    <row r="43" spans="2:10" ht="14.85" customHeight="1">
      <c r="B43" s="422" t="s">
        <v>3</v>
      </c>
      <c r="C43" s="422"/>
      <c r="D43" s="417" t="s">
        <v>467</v>
      </c>
      <c r="E43" s="417"/>
      <c r="F43" s="417"/>
      <c r="G43" s="417"/>
      <c r="H43" s="417"/>
      <c r="I43" s="417"/>
    </row>
    <row r="44" spans="2:10" ht="14.85" customHeight="1">
      <c r="B44" s="422" t="s">
        <v>4</v>
      </c>
      <c r="C44" s="422"/>
      <c r="D44" s="417" t="s">
        <v>468</v>
      </c>
      <c r="E44" s="417"/>
      <c r="F44" s="417"/>
      <c r="G44" s="417"/>
      <c r="H44" s="417"/>
      <c r="I44" s="417"/>
    </row>
    <row r="45" spans="2:10" ht="14.85" customHeight="1">
      <c r="B45" s="422" t="s">
        <v>405</v>
      </c>
      <c r="C45" s="422"/>
      <c r="D45" s="377" t="s">
        <v>506</v>
      </c>
      <c r="E45" s="377"/>
      <c r="F45" s="377"/>
      <c r="G45" s="377"/>
      <c r="H45" s="176"/>
      <c r="I45" s="245"/>
    </row>
    <row r="46" spans="2:10" ht="14.85" customHeight="1">
      <c r="B46" s="422" t="s">
        <v>406</v>
      </c>
      <c r="C46" s="422"/>
      <c r="D46" s="377" t="s">
        <v>407</v>
      </c>
      <c r="E46" s="377"/>
      <c r="F46" s="377"/>
      <c r="G46" s="377"/>
      <c r="H46" s="176"/>
      <c r="I46" s="245"/>
    </row>
    <row r="47" spans="2:10">
      <c r="B47" s="177"/>
      <c r="C47" s="177"/>
      <c r="D47" s="176"/>
      <c r="E47" s="176"/>
      <c r="F47" s="176"/>
      <c r="G47" s="176"/>
      <c r="H47" s="176"/>
      <c r="I47" s="245"/>
    </row>
    <row r="48" spans="2:10">
      <c r="B48" s="174" t="s">
        <v>408</v>
      </c>
      <c r="C48" s="174"/>
      <c r="D48" s="174"/>
      <c r="E48" s="174"/>
      <c r="F48" s="174"/>
      <c r="G48" s="174"/>
      <c r="H48" s="174"/>
      <c r="I48" s="240"/>
      <c r="J48" s="239"/>
    </row>
    <row r="49" spans="2:14" ht="14.85" customHeight="1">
      <c r="B49" s="425" t="s">
        <v>608</v>
      </c>
      <c r="C49" s="425"/>
      <c r="D49" s="425"/>
      <c r="E49" s="425"/>
      <c r="F49" s="425"/>
      <c r="G49" s="425"/>
      <c r="H49" s="425"/>
      <c r="I49" s="425"/>
      <c r="J49" s="425"/>
    </row>
    <row r="50" spans="2:14">
      <c r="B50" s="425"/>
      <c r="C50" s="425"/>
      <c r="D50" s="425"/>
      <c r="E50" s="425"/>
      <c r="F50" s="425"/>
      <c r="G50" s="425"/>
      <c r="H50" s="425"/>
      <c r="I50" s="425"/>
      <c r="J50" s="425"/>
    </row>
    <row r="51" spans="2:14">
      <c r="B51" s="425"/>
      <c r="C51" s="425"/>
      <c r="D51" s="425"/>
      <c r="E51" s="425"/>
      <c r="F51" s="425"/>
      <c r="G51" s="425"/>
      <c r="H51" s="425"/>
      <c r="I51" s="425"/>
      <c r="J51" s="425"/>
    </row>
    <row r="52" spans="2:14" ht="16.350000000000001" customHeight="1">
      <c r="B52" s="425"/>
      <c r="C52" s="425"/>
      <c r="D52" s="425"/>
      <c r="E52" s="425"/>
      <c r="F52" s="425"/>
      <c r="G52" s="425"/>
      <c r="H52" s="425"/>
      <c r="I52" s="425"/>
      <c r="J52" s="425"/>
    </row>
    <row r="53" spans="2:14">
      <c r="B53" s="412" t="s">
        <v>362</v>
      </c>
      <c r="C53" s="413"/>
      <c r="D53" s="204">
        <v>6500000000</v>
      </c>
      <c r="E53" s="384"/>
      <c r="F53" s="384"/>
      <c r="G53" s="384"/>
    </row>
    <row r="54" spans="2:14">
      <c r="B54" s="412" t="s">
        <v>363</v>
      </c>
      <c r="C54" s="413"/>
      <c r="D54" s="204" t="s">
        <v>478</v>
      </c>
      <c r="E54" s="384"/>
      <c r="F54" s="384"/>
      <c r="G54" s="384"/>
    </row>
    <row r="55" spans="2:14">
      <c r="B55" s="412" t="s">
        <v>374</v>
      </c>
      <c r="C55" s="413"/>
      <c r="D55" s="204" t="str">
        <f>+D54</f>
        <v>G.3.332.300.000</v>
      </c>
      <c r="E55" s="384"/>
      <c r="F55" s="384"/>
      <c r="G55" s="384"/>
    </row>
    <row r="56" spans="2:14">
      <c r="B56" s="412" t="s">
        <v>5</v>
      </c>
      <c r="C56" s="426"/>
      <c r="D56" s="204">
        <v>3167700000</v>
      </c>
      <c r="E56" s="384"/>
      <c r="F56" s="384"/>
      <c r="G56" s="384"/>
    </row>
    <row r="58" spans="2:14">
      <c r="B58" s="205" t="s">
        <v>426</v>
      </c>
      <c r="C58" s="205"/>
      <c r="D58" s="205"/>
      <c r="E58" s="205"/>
      <c r="F58" s="205"/>
      <c r="G58" s="205"/>
      <c r="H58" s="175"/>
    </row>
    <row r="59" spans="2:14" ht="5.0999999999999996" customHeight="1"/>
    <row r="60" spans="2:14" ht="18.600000000000001" customHeight="1">
      <c r="B60" s="237" t="s">
        <v>364</v>
      </c>
      <c r="C60" s="237" t="s">
        <v>365</v>
      </c>
      <c r="D60" s="237" t="s">
        <v>366</v>
      </c>
      <c r="E60" s="237" t="s">
        <v>479</v>
      </c>
      <c r="F60" s="237" t="s">
        <v>480</v>
      </c>
      <c r="G60" s="237" t="s">
        <v>481</v>
      </c>
      <c r="H60" s="237" t="s">
        <v>367</v>
      </c>
      <c r="I60" s="246" t="s">
        <v>368</v>
      </c>
      <c r="J60" s="238" t="s">
        <v>369</v>
      </c>
      <c r="K60" s="238" t="s">
        <v>428</v>
      </c>
      <c r="L60" s="237" t="s">
        <v>370</v>
      </c>
      <c r="M60" s="238" t="s">
        <v>371</v>
      </c>
    </row>
    <row r="61" spans="2:14">
      <c r="B61" s="424">
        <v>1</v>
      </c>
      <c r="C61" s="424" t="s">
        <v>482</v>
      </c>
      <c r="D61" s="374" t="s">
        <v>483</v>
      </c>
      <c r="E61" s="374" t="s">
        <v>486</v>
      </c>
      <c r="F61" s="374">
        <v>151</v>
      </c>
      <c r="G61" s="374">
        <v>160</v>
      </c>
      <c r="H61" s="374" t="s">
        <v>372</v>
      </c>
      <c r="I61" s="247">
        <f t="shared" ref="I61:I124" si="0">IF(H61="Ordinaria",+J61,0)</f>
        <v>10</v>
      </c>
      <c r="J61" s="374">
        <v>10</v>
      </c>
      <c r="K61" s="248">
        <f>+I61</f>
        <v>10</v>
      </c>
      <c r="L61" s="206">
        <f t="shared" ref="L61:L124" si="1">J61*100000</f>
        <v>1000000</v>
      </c>
      <c r="M61" s="207">
        <f t="shared" ref="M61:M124" si="2">+L61/$L$245</f>
        <v>2.8225465014536117E-4</v>
      </c>
      <c r="N61" s="38" t="s">
        <v>372</v>
      </c>
    </row>
    <row r="62" spans="2:14">
      <c r="B62" s="424"/>
      <c r="C62" s="424"/>
      <c r="D62" s="374" t="s">
        <v>484</v>
      </c>
      <c r="E62" s="374" t="s">
        <v>486</v>
      </c>
      <c r="F62" s="374">
        <v>182</v>
      </c>
      <c r="G62" s="374">
        <v>200</v>
      </c>
      <c r="H62" s="374" t="s">
        <v>372</v>
      </c>
      <c r="I62" s="247">
        <f t="shared" si="0"/>
        <v>19</v>
      </c>
      <c r="J62" s="374">
        <v>19</v>
      </c>
      <c r="K62" s="248">
        <f t="shared" ref="K62:K125" si="3">+I62</f>
        <v>19</v>
      </c>
      <c r="L62" s="206">
        <f t="shared" si="1"/>
        <v>1900000</v>
      </c>
      <c r="M62" s="207">
        <f t="shared" si="2"/>
        <v>5.3628383527618614E-4</v>
      </c>
      <c r="N62" s="38" t="s">
        <v>372</v>
      </c>
    </row>
    <row r="63" spans="2:14">
      <c r="B63" s="424"/>
      <c r="C63" s="424"/>
      <c r="D63" s="374" t="s">
        <v>485</v>
      </c>
      <c r="E63" s="374" t="s">
        <v>487</v>
      </c>
      <c r="F63" s="374">
        <v>1</v>
      </c>
      <c r="G63" s="374">
        <v>12</v>
      </c>
      <c r="H63" s="374" t="s">
        <v>372</v>
      </c>
      <c r="I63" s="247">
        <f t="shared" si="0"/>
        <v>12</v>
      </c>
      <c r="J63" s="374">
        <v>12</v>
      </c>
      <c r="K63" s="248">
        <f t="shared" si="3"/>
        <v>12</v>
      </c>
      <c r="L63" s="206">
        <f t="shared" si="1"/>
        <v>1200000</v>
      </c>
      <c r="M63" s="207">
        <f t="shared" si="2"/>
        <v>3.3870558017443336E-4</v>
      </c>
      <c r="N63" s="38" t="s">
        <v>372</v>
      </c>
    </row>
    <row r="64" spans="2:14">
      <c r="B64" s="424">
        <v>2</v>
      </c>
      <c r="C64" s="424" t="s">
        <v>488</v>
      </c>
      <c r="D64" s="374" t="s">
        <v>484</v>
      </c>
      <c r="E64" s="374" t="s">
        <v>489</v>
      </c>
      <c r="F64" s="374">
        <v>1</v>
      </c>
      <c r="G64" s="374">
        <v>2</v>
      </c>
      <c r="H64" s="374" t="s">
        <v>372</v>
      </c>
      <c r="I64" s="247">
        <f t="shared" si="0"/>
        <v>2</v>
      </c>
      <c r="J64" s="374">
        <v>2</v>
      </c>
      <c r="K64" s="248">
        <f t="shared" si="3"/>
        <v>2</v>
      </c>
      <c r="L64" s="206">
        <f t="shared" si="1"/>
        <v>200000</v>
      </c>
      <c r="M64" s="207">
        <f t="shared" si="2"/>
        <v>5.6450930029072231E-5</v>
      </c>
      <c r="N64" s="38" t="s">
        <v>372</v>
      </c>
    </row>
    <row r="65" spans="2:14">
      <c r="B65" s="424"/>
      <c r="C65" s="424"/>
      <c r="D65" s="374" t="s">
        <v>490</v>
      </c>
      <c r="E65" s="374" t="s">
        <v>489</v>
      </c>
      <c r="F65" s="374">
        <v>103</v>
      </c>
      <c r="G65" s="374">
        <v>200</v>
      </c>
      <c r="H65" s="374" t="s">
        <v>372</v>
      </c>
      <c r="I65" s="247">
        <f t="shared" si="0"/>
        <v>98</v>
      </c>
      <c r="J65" s="374">
        <v>98</v>
      </c>
      <c r="K65" s="248">
        <f t="shared" si="3"/>
        <v>98</v>
      </c>
      <c r="L65" s="206">
        <f t="shared" si="1"/>
        <v>9800000</v>
      </c>
      <c r="M65" s="207">
        <f t="shared" si="2"/>
        <v>2.7660955714245393E-3</v>
      </c>
      <c r="N65" s="38" t="s">
        <v>372</v>
      </c>
    </row>
    <row r="66" spans="2:14">
      <c r="B66" s="424"/>
      <c r="C66" s="424"/>
      <c r="D66" s="374" t="s">
        <v>484</v>
      </c>
      <c r="E66" s="374" t="s">
        <v>491</v>
      </c>
      <c r="F66" s="374">
        <v>3</v>
      </c>
      <c r="G66" s="374">
        <v>52</v>
      </c>
      <c r="H66" s="374" t="s">
        <v>372</v>
      </c>
      <c r="I66" s="247">
        <f t="shared" si="0"/>
        <v>50</v>
      </c>
      <c r="J66" s="374">
        <v>50</v>
      </c>
      <c r="K66" s="248">
        <f t="shared" si="3"/>
        <v>50</v>
      </c>
      <c r="L66" s="206">
        <f t="shared" si="1"/>
        <v>5000000</v>
      </c>
      <c r="M66" s="207">
        <f t="shared" si="2"/>
        <v>1.4112732507268056E-3</v>
      </c>
      <c r="N66" s="38" t="s">
        <v>372</v>
      </c>
    </row>
    <row r="67" spans="2:14">
      <c r="B67" s="424"/>
      <c r="C67" s="424"/>
      <c r="D67" s="374" t="s">
        <v>484</v>
      </c>
      <c r="E67" s="374" t="s">
        <v>492</v>
      </c>
      <c r="F67" s="374">
        <v>53</v>
      </c>
      <c r="G67" s="374">
        <v>102</v>
      </c>
      <c r="H67" s="374" t="s">
        <v>372</v>
      </c>
      <c r="I67" s="247">
        <f t="shared" si="0"/>
        <v>50</v>
      </c>
      <c r="J67" s="374">
        <v>50</v>
      </c>
      <c r="K67" s="248">
        <f t="shared" si="3"/>
        <v>50</v>
      </c>
      <c r="L67" s="206">
        <f t="shared" si="1"/>
        <v>5000000</v>
      </c>
      <c r="M67" s="207">
        <f t="shared" si="2"/>
        <v>1.4112732507268056E-3</v>
      </c>
      <c r="N67" s="38" t="s">
        <v>372</v>
      </c>
    </row>
    <row r="68" spans="2:14">
      <c r="B68" s="424"/>
      <c r="C68" s="424"/>
      <c r="D68" s="374" t="s">
        <v>484</v>
      </c>
      <c r="E68" s="374" t="s">
        <v>493</v>
      </c>
      <c r="F68" s="374">
        <v>103</v>
      </c>
      <c r="G68" s="374">
        <v>107</v>
      </c>
      <c r="H68" s="374" t="s">
        <v>372</v>
      </c>
      <c r="I68" s="247">
        <f t="shared" si="0"/>
        <v>5</v>
      </c>
      <c r="J68" s="374">
        <v>5</v>
      </c>
      <c r="K68" s="248">
        <f t="shared" si="3"/>
        <v>5</v>
      </c>
      <c r="L68" s="206">
        <f t="shared" si="1"/>
        <v>500000</v>
      </c>
      <c r="M68" s="207">
        <f t="shared" si="2"/>
        <v>1.4112732507268059E-4</v>
      </c>
      <c r="N68" s="38" t="s">
        <v>372</v>
      </c>
    </row>
    <row r="69" spans="2:14">
      <c r="B69" s="424"/>
      <c r="C69" s="424"/>
      <c r="D69" s="374" t="s">
        <v>484</v>
      </c>
      <c r="E69" s="374" t="s">
        <v>494</v>
      </c>
      <c r="F69" s="374">
        <v>108</v>
      </c>
      <c r="G69" s="374">
        <v>112</v>
      </c>
      <c r="H69" s="374" t="s">
        <v>372</v>
      </c>
      <c r="I69" s="247">
        <f t="shared" si="0"/>
        <v>5</v>
      </c>
      <c r="J69" s="374">
        <v>5</v>
      </c>
      <c r="K69" s="248">
        <f t="shared" si="3"/>
        <v>5</v>
      </c>
      <c r="L69" s="206">
        <f t="shared" si="1"/>
        <v>500000</v>
      </c>
      <c r="M69" s="207">
        <f t="shared" si="2"/>
        <v>1.4112732507268059E-4</v>
      </c>
      <c r="N69" s="38" t="s">
        <v>372</v>
      </c>
    </row>
    <row r="70" spans="2:14">
      <c r="B70" s="424"/>
      <c r="C70" s="424"/>
      <c r="D70" s="374" t="s">
        <v>495</v>
      </c>
      <c r="E70" s="374" t="s">
        <v>492</v>
      </c>
      <c r="F70" s="374">
        <v>25</v>
      </c>
      <c r="G70" s="374">
        <v>230</v>
      </c>
      <c r="H70" s="374" t="s">
        <v>372</v>
      </c>
      <c r="I70" s="247">
        <f t="shared" si="0"/>
        <v>206</v>
      </c>
      <c r="J70" s="374">
        <v>206</v>
      </c>
      <c r="K70" s="248">
        <f t="shared" si="3"/>
        <v>206</v>
      </c>
      <c r="L70" s="206">
        <f t="shared" si="1"/>
        <v>20600000</v>
      </c>
      <c r="M70" s="207">
        <f t="shared" si="2"/>
        <v>5.8144457929944398E-3</v>
      </c>
      <c r="N70" s="38" t="s">
        <v>372</v>
      </c>
    </row>
    <row r="71" spans="2:14">
      <c r="B71" s="424"/>
      <c r="C71" s="424"/>
      <c r="D71" s="374" t="s">
        <v>496</v>
      </c>
      <c r="E71" s="374" t="s">
        <v>497</v>
      </c>
      <c r="F71" s="374">
        <v>64</v>
      </c>
      <c r="G71" s="374">
        <v>269</v>
      </c>
      <c r="H71" s="374" t="s">
        <v>372</v>
      </c>
      <c r="I71" s="247">
        <f t="shared" si="0"/>
        <v>206</v>
      </c>
      <c r="J71" s="374">
        <v>206</v>
      </c>
      <c r="K71" s="248">
        <f t="shared" si="3"/>
        <v>206</v>
      </c>
      <c r="L71" s="206">
        <f t="shared" si="1"/>
        <v>20600000</v>
      </c>
      <c r="M71" s="207">
        <f t="shared" si="2"/>
        <v>5.8144457929944398E-3</v>
      </c>
      <c r="N71" s="38" t="s">
        <v>372</v>
      </c>
    </row>
    <row r="72" spans="2:14">
      <c r="B72" s="424"/>
      <c r="C72" s="424"/>
      <c r="D72" s="374" t="s">
        <v>498</v>
      </c>
      <c r="E72" s="374" t="s">
        <v>499</v>
      </c>
      <c r="F72" s="374">
        <v>113</v>
      </c>
      <c r="G72" s="374">
        <v>200</v>
      </c>
      <c r="H72" s="374" t="s">
        <v>372</v>
      </c>
      <c r="I72" s="247">
        <f t="shared" si="0"/>
        <v>88</v>
      </c>
      <c r="J72" s="374">
        <v>88</v>
      </c>
      <c r="K72" s="248">
        <f t="shared" si="3"/>
        <v>88</v>
      </c>
      <c r="L72" s="206">
        <f t="shared" si="1"/>
        <v>8800000</v>
      </c>
      <c r="M72" s="207">
        <f t="shared" si="2"/>
        <v>2.4838409212791781E-3</v>
      </c>
      <c r="N72" s="38" t="s">
        <v>372</v>
      </c>
    </row>
    <row r="73" spans="2:14">
      <c r="B73" s="424"/>
      <c r="C73" s="424"/>
      <c r="D73" s="374" t="s">
        <v>500</v>
      </c>
      <c r="E73" s="374" t="s">
        <v>501</v>
      </c>
      <c r="F73" s="374">
        <v>1</v>
      </c>
      <c r="G73" s="374">
        <v>112</v>
      </c>
      <c r="H73" s="374" t="s">
        <v>372</v>
      </c>
      <c r="I73" s="247">
        <f t="shared" si="0"/>
        <v>112</v>
      </c>
      <c r="J73" s="374">
        <v>112</v>
      </c>
      <c r="K73" s="248">
        <f t="shared" si="3"/>
        <v>112</v>
      </c>
      <c r="L73" s="206">
        <f t="shared" si="1"/>
        <v>11200000</v>
      </c>
      <c r="M73" s="207">
        <f t="shared" si="2"/>
        <v>3.1612520816280448E-3</v>
      </c>
      <c r="N73" s="38" t="s">
        <v>372</v>
      </c>
    </row>
    <row r="74" spans="2:14">
      <c r="B74" s="424">
        <v>3</v>
      </c>
      <c r="C74" s="427" t="s">
        <v>502</v>
      </c>
      <c r="D74" s="374" t="s">
        <v>503</v>
      </c>
      <c r="E74" s="374" t="s">
        <v>504</v>
      </c>
      <c r="F74" s="374">
        <v>191</v>
      </c>
      <c r="G74" s="374">
        <v>200</v>
      </c>
      <c r="H74" s="374" t="s">
        <v>372</v>
      </c>
      <c r="I74" s="247">
        <f t="shared" si="0"/>
        <v>10</v>
      </c>
      <c r="J74" s="374">
        <v>10</v>
      </c>
      <c r="K74" s="248">
        <f t="shared" si="3"/>
        <v>10</v>
      </c>
      <c r="L74" s="206">
        <f t="shared" si="1"/>
        <v>1000000</v>
      </c>
      <c r="M74" s="207">
        <f t="shared" si="2"/>
        <v>2.8225465014536117E-4</v>
      </c>
      <c r="N74" s="38" t="s">
        <v>372</v>
      </c>
    </row>
    <row r="75" spans="2:14">
      <c r="B75" s="424"/>
      <c r="C75" s="427"/>
      <c r="D75" s="374" t="s">
        <v>484</v>
      </c>
      <c r="E75" s="374" t="s">
        <v>504</v>
      </c>
      <c r="F75" s="374">
        <v>113</v>
      </c>
      <c r="G75" s="374">
        <v>131</v>
      </c>
      <c r="H75" s="374" t="s">
        <v>372</v>
      </c>
      <c r="I75" s="247">
        <f t="shared" si="0"/>
        <v>19</v>
      </c>
      <c r="J75" s="374">
        <v>19</v>
      </c>
      <c r="K75" s="248">
        <f t="shared" si="3"/>
        <v>19</v>
      </c>
      <c r="L75" s="206">
        <f t="shared" si="1"/>
        <v>1900000</v>
      </c>
      <c r="M75" s="207">
        <f t="shared" si="2"/>
        <v>5.3628383527618614E-4</v>
      </c>
      <c r="N75" s="38" t="s">
        <v>372</v>
      </c>
    </row>
    <row r="76" spans="2:14">
      <c r="B76" s="424"/>
      <c r="C76" s="427"/>
      <c r="D76" s="374" t="s">
        <v>485</v>
      </c>
      <c r="E76" s="374" t="s">
        <v>505</v>
      </c>
      <c r="F76" s="374">
        <v>2622</v>
      </c>
      <c r="G76" s="374">
        <v>2633</v>
      </c>
      <c r="H76" s="374" t="s">
        <v>372</v>
      </c>
      <c r="I76" s="247">
        <f t="shared" si="0"/>
        <v>12</v>
      </c>
      <c r="J76" s="374">
        <v>12</v>
      </c>
      <c r="K76" s="248">
        <f t="shared" si="3"/>
        <v>12</v>
      </c>
      <c r="L76" s="206">
        <f t="shared" si="1"/>
        <v>1200000</v>
      </c>
      <c r="M76" s="207">
        <f t="shared" si="2"/>
        <v>3.3870558017443336E-4</v>
      </c>
      <c r="N76" s="38" t="s">
        <v>372</v>
      </c>
    </row>
    <row r="77" spans="2:14">
      <c r="B77" s="424">
        <v>4</v>
      </c>
      <c r="C77" s="427" t="s">
        <v>507</v>
      </c>
      <c r="D77" s="374" t="s">
        <v>508</v>
      </c>
      <c r="E77" s="374" t="s">
        <v>509</v>
      </c>
      <c r="F77" s="374">
        <v>181</v>
      </c>
      <c r="G77" s="374">
        <v>190</v>
      </c>
      <c r="H77" s="374" t="s">
        <v>372</v>
      </c>
      <c r="I77" s="247">
        <f t="shared" si="0"/>
        <v>10</v>
      </c>
      <c r="J77" s="374">
        <v>10</v>
      </c>
      <c r="K77" s="248">
        <f t="shared" si="3"/>
        <v>10</v>
      </c>
      <c r="L77" s="206">
        <f t="shared" si="1"/>
        <v>1000000</v>
      </c>
      <c r="M77" s="207">
        <f t="shared" si="2"/>
        <v>2.8225465014536117E-4</v>
      </c>
      <c r="N77" s="38" t="s">
        <v>372</v>
      </c>
    </row>
    <row r="78" spans="2:14">
      <c r="B78" s="424"/>
      <c r="C78" s="427"/>
      <c r="D78" s="374" t="s">
        <v>503</v>
      </c>
      <c r="E78" s="374" t="s">
        <v>509</v>
      </c>
      <c r="F78" s="374">
        <v>1</v>
      </c>
      <c r="G78" s="374">
        <v>100</v>
      </c>
      <c r="H78" s="374" t="s">
        <v>372</v>
      </c>
      <c r="I78" s="247">
        <f t="shared" si="0"/>
        <v>100</v>
      </c>
      <c r="J78" s="374">
        <v>100</v>
      </c>
      <c r="K78" s="248">
        <f t="shared" si="3"/>
        <v>100</v>
      </c>
      <c r="L78" s="206">
        <f t="shared" si="1"/>
        <v>10000000</v>
      </c>
      <c r="M78" s="207">
        <f t="shared" si="2"/>
        <v>2.8225465014536113E-3</v>
      </c>
      <c r="N78" s="38" t="s">
        <v>372</v>
      </c>
    </row>
    <row r="79" spans="2:14">
      <c r="B79" s="424"/>
      <c r="C79" s="427"/>
      <c r="D79" s="374" t="s">
        <v>510</v>
      </c>
      <c r="E79" s="374" t="s">
        <v>509</v>
      </c>
      <c r="F79" s="374">
        <v>105</v>
      </c>
      <c r="G79" s="374">
        <v>119</v>
      </c>
      <c r="H79" s="374" t="s">
        <v>372</v>
      </c>
      <c r="I79" s="247">
        <f t="shared" si="0"/>
        <v>15</v>
      </c>
      <c r="J79" s="374">
        <v>15</v>
      </c>
      <c r="K79" s="248">
        <f t="shared" si="3"/>
        <v>15</v>
      </c>
      <c r="L79" s="206">
        <f t="shared" si="1"/>
        <v>1500000</v>
      </c>
      <c r="M79" s="207">
        <f t="shared" si="2"/>
        <v>4.233819752180417E-4</v>
      </c>
      <c r="N79" s="38" t="s">
        <v>372</v>
      </c>
    </row>
    <row r="80" spans="2:14">
      <c r="B80" s="424"/>
      <c r="C80" s="427"/>
      <c r="D80" s="374" t="s">
        <v>511</v>
      </c>
      <c r="E80" s="374" t="s">
        <v>509</v>
      </c>
      <c r="F80" s="374">
        <v>1</v>
      </c>
      <c r="G80" s="374">
        <v>200</v>
      </c>
      <c r="H80" s="374" t="s">
        <v>372</v>
      </c>
      <c r="I80" s="247">
        <f t="shared" si="0"/>
        <v>200</v>
      </c>
      <c r="J80" s="374">
        <v>200</v>
      </c>
      <c r="K80" s="248">
        <f t="shared" si="3"/>
        <v>200</v>
      </c>
      <c r="L80" s="206">
        <f t="shared" si="1"/>
        <v>20000000</v>
      </c>
      <c r="M80" s="207">
        <f t="shared" si="2"/>
        <v>5.6450930029072225E-3</v>
      </c>
      <c r="N80" s="38" t="s">
        <v>372</v>
      </c>
    </row>
    <row r="81" spans="2:14">
      <c r="B81" s="424"/>
      <c r="C81" s="427"/>
      <c r="D81" s="374" t="s">
        <v>485</v>
      </c>
      <c r="E81" s="374" t="s">
        <v>512</v>
      </c>
      <c r="F81" s="374">
        <v>2634</v>
      </c>
      <c r="G81" s="374">
        <v>2761</v>
      </c>
      <c r="H81" s="374" t="s">
        <v>372</v>
      </c>
      <c r="I81" s="247">
        <f t="shared" si="0"/>
        <v>128</v>
      </c>
      <c r="J81" s="374">
        <v>128</v>
      </c>
      <c r="K81" s="248">
        <f t="shared" si="3"/>
        <v>128</v>
      </c>
      <c r="L81" s="206">
        <f t="shared" si="1"/>
        <v>12800000</v>
      </c>
      <c r="M81" s="207">
        <f t="shared" si="2"/>
        <v>3.6128595218606228E-3</v>
      </c>
      <c r="N81" s="38" t="s">
        <v>372</v>
      </c>
    </row>
    <row r="82" spans="2:14" ht="14.85" customHeight="1">
      <c r="B82" s="424">
        <v>5</v>
      </c>
      <c r="C82" s="424" t="s">
        <v>513</v>
      </c>
      <c r="D82" s="374" t="s">
        <v>486</v>
      </c>
      <c r="E82" s="374" t="s">
        <v>514</v>
      </c>
      <c r="F82" s="374">
        <v>101</v>
      </c>
      <c r="G82" s="374">
        <v>200</v>
      </c>
      <c r="H82" s="374" t="s">
        <v>372</v>
      </c>
      <c r="I82" s="247">
        <f t="shared" si="0"/>
        <v>100</v>
      </c>
      <c r="J82" s="374">
        <v>100</v>
      </c>
      <c r="K82" s="248">
        <f t="shared" si="3"/>
        <v>100</v>
      </c>
      <c r="L82" s="206">
        <f t="shared" si="1"/>
        <v>10000000</v>
      </c>
      <c r="M82" s="207">
        <f t="shared" si="2"/>
        <v>2.8225465014536113E-3</v>
      </c>
      <c r="N82" s="38" t="s">
        <v>372</v>
      </c>
    </row>
    <row r="83" spans="2:14" ht="14.85" customHeight="1">
      <c r="B83" s="424"/>
      <c r="C83" s="424"/>
      <c r="D83" s="374" t="s">
        <v>483</v>
      </c>
      <c r="E83" s="374" t="s">
        <v>514</v>
      </c>
      <c r="F83" s="374">
        <v>51</v>
      </c>
      <c r="G83" s="374">
        <v>150</v>
      </c>
      <c r="H83" s="374" t="s">
        <v>372</v>
      </c>
      <c r="I83" s="247">
        <f t="shared" si="0"/>
        <v>100</v>
      </c>
      <c r="J83" s="374">
        <v>100</v>
      </c>
      <c r="K83" s="248">
        <f t="shared" si="3"/>
        <v>100</v>
      </c>
      <c r="L83" s="206">
        <f t="shared" si="1"/>
        <v>10000000</v>
      </c>
      <c r="M83" s="207">
        <f t="shared" si="2"/>
        <v>2.8225465014536113E-3</v>
      </c>
      <c r="N83" s="38" t="s">
        <v>372</v>
      </c>
    </row>
    <row r="84" spans="2:14" ht="14.85" customHeight="1">
      <c r="B84" s="424"/>
      <c r="C84" s="424"/>
      <c r="D84" s="374" t="s">
        <v>483</v>
      </c>
      <c r="E84" s="374" t="s">
        <v>514</v>
      </c>
      <c r="F84" s="374">
        <v>161</v>
      </c>
      <c r="G84" s="374">
        <v>165</v>
      </c>
      <c r="H84" s="374" t="s">
        <v>372</v>
      </c>
      <c r="I84" s="247">
        <f t="shared" si="0"/>
        <v>5</v>
      </c>
      <c r="J84" s="374">
        <v>5</v>
      </c>
      <c r="K84" s="248">
        <f t="shared" si="3"/>
        <v>5</v>
      </c>
      <c r="L84" s="206">
        <f t="shared" si="1"/>
        <v>500000</v>
      </c>
      <c r="M84" s="207">
        <f t="shared" si="2"/>
        <v>1.4112732507268059E-4</v>
      </c>
      <c r="N84" s="38" t="s">
        <v>372</v>
      </c>
    </row>
    <row r="85" spans="2:14" ht="14.85" customHeight="1">
      <c r="B85" s="424"/>
      <c r="C85" s="424"/>
      <c r="D85" s="374" t="s">
        <v>483</v>
      </c>
      <c r="E85" s="374" t="s">
        <v>514</v>
      </c>
      <c r="F85" s="374">
        <v>181</v>
      </c>
      <c r="G85" s="374">
        <v>195</v>
      </c>
      <c r="H85" s="374" t="s">
        <v>372</v>
      </c>
      <c r="I85" s="247">
        <f t="shared" si="0"/>
        <v>15</v>
      </c>
      <c r="J85" s="374">
        <v>15</v>
      </c>
      <c r="K85" s="248">
        <f t="shared" si="3"/>
        <v>15</v>
      </c>
      <c r="L85" s="206">
        <f t="shared" si="1"/>
        <v>1500000</v>
      </c>
      <c r="M85" s="207">
        <f t="shared" si="2"/>
        <v>4.233819752180417E-4</v>
      </c>
      <c r="N85" s="38" t="s">
        <v>372</v>
      </c>
    </row>
    <row r="86" spans="2:14" ht="14.85" customHeight="1">
      <c r="B86" s="424"/>
      <c r="C86" s="424"/>
      <c r="D86" s="374" t="s">
        <v>483</v>
      </c>
      <c r="E86" s="374" t="s">
        <v>514</v>
      </c>
      <c r="F86" s="374">
        <v>200</v>
      </c>
      <c r="G86" s="374">
        <v>200</v>
      </c>
      <c r="H86" s="374" t="s">
        <v>372</v>
      </c>
      <c r="I86" s="247">
        <f t="shared" si="0"/>
        <v>1</v>
      </c>
      <c r="J86" s="374">
        <v>1</v>
      </c>
      <c r="K86" s="248">
        <f t="shared" si="3"/>
        <v>1</v>
      </c>
      <c r="L86" s="206">
        <f t="shared" si="1"/>
        <v>100000</v>
      </c>
      <c r="M86" s="207">
        <f t="shared" si="2"/>
        <v>2.8225465014536116E-5</v>
      </c>
      <c r="N86" s="38" t="s">
        <v>372</v>
      </c>
    </row>
    <row r="87" spans="2:14" ht="14.85" customHeight="1">
      <c r="B87" s="424"/>
      <c r="C87" s="424"/>
      <c r="D87" s="374" t="s">
        <v>508</v>
      </c>
      <c r="E87" s="374" t="s">
        <v>514</v>
      </c>
      <c r="F87" s="374">
        <v>1</v>
      </c>
      <c r="G87" s="374">
        <v>100</v>
      </c>
      <c r="H87" s="374" t="s">
        <v>372</v>
      </c>
      <c r="I87" s="247">
        <f t="shared" si="0"/>
        <v>100</v>
      </c>
      <c r="J87" s="374">
        <v>100</v>
      </c>
      <c r="K87" s="248">
        <f t="shared" si="3"/>
        <v>100</v>
      </c>
      <c r="L87" s="206">
        <f t="shared" si="1"/>
        <v>10000000</v>
      </c>
      <c r="M87" s="207">
        <f t="shared" si="2"/>
        <v>2.8225465014536113E-3</v>
      </c>
      <c r="N87" s="38" t="s">
        <v>372</v>
      </c>
    </row>
    <row r="88" spans="2:14" ht="14.85" customHeight="1">
      <c r="B88" s="424"/>
      <c r="C88" s="424"/>
      <c r="D88" s="374" t="s">
        <v>508</v>
      </c>
      <c r="E88" s="374" t="s">
        <v>490</v>
      </c>
      <c r="F88" s="374">
        <v>151</v>
      </c>
      <c r="G88" s="374">
        <v>180</v>
      </c>
      <c r="H88" s="374" t="s">
        <v>372</v>
      </c>
      <c r="I88" s="247">
        <f t="shared" si="0"/>
        <v>30</v>
      </c>
      <c r="J88" s="374">
        <v>30</v>
      </c>
      <c r="K88" s="248">
        <f t="shared" si="3"/>
        <v>30</v>
      </c>
      <c r="L88" s="206">
        <f t="shared" si="1"/>
        <v>3000000</v>
      </c>
      <c r="M88" s="207">
        <f t="shared" si="2"/>
        <v>8.467639504360834E-4</v>
      </c>
      <c r="N88" s="38" t="s">
        <v>372</v>
      </c>
    </row>
    <row r="89" spans="2:14" ht="14.85" customHeight="1">
      <c r="B89" s="424"/>
      <c r="C89" s="424"/>
      <c r="D89" s="374" t="s">
        <v>508</v>
      </c>
      <c r="E89" s="374" t="s">
        <v>490</v>
      </c>
      <c r="F89" s="374">
        <v>191</v>
      </c>
      <c r="G89" s="374">
        <v>199</v>
      </c>
      <c r="H89" s="374" t="s">
        <v>372</v>
      </c>
      <c r="I89" s="247">
        <f t="shared" si="0"/>
        <v>9</v>
      </c>
      <c r="J89" s="374">
        <v>9</v>
      </c>
      <c r="K89" s="248">
        <f t="shared" si="3"/>
        <v>9</v>
      </c>
      <c r="L89" s="206">
        <f t="shared" si="1"/>
        <v>900000</v>
      </c>
      <c r="M89" s="207">
        <f t="shared" si="2"/>
        <v>2.5402918513082502E-4</v>
      </c>
      <c r="N89" s="38" t="s">
        <v>372</v>
      </c>
    </row>
    <row r="90" spans="2:14" ht="14.85" customHeight="1">
      <c r="B90" s="424"/>
      <c r="C90" s="424"/>
      <c r="D90" s="374" t="s">
        <v>503</v>
      </c>
      <c r="E90" s="374" t="s">
        <v>490</v>
      </c>
      <c r="F90" s="374">
        <v>101</v>
      </c>
      <c r="G90" s="374">
        <v>190</v>
      </c>
      <c r="H90" s="374" t="s">
        <v>372</v>
      </c>
      <c r="I90" s="247">
        <f t="shared" si="0"/>
        <v>90</v>
      </c>
      <c r="J90" s="374">
        <v>90</v>
      </c>
      <c r="K90" s="248">
        <f t="shared" si="3"/>
        <v>90</v>
      </c>
      <c r="L90" s="206">
        <f t="shared" si="1"/>
        <v>9000000</v>
      </c>
      <c r="M90" s="207">
        <f t="shared" si="2"/>
        <v>2.5402918513082501E-3</v>
      </c>
      <c r="N90" s="38" t="s">
        <v>372</v>
      </c>
    </row>
    <row r="91" spans="2:14" ht="14.85" customHeight="1">
      <c r="B91" s="424"/>
      <c r="C91" s="424"/>
      <c r="D91" s="374" t="s">
        <v>515</v>
      </c>
      <c r="E91" s="374" t="s">
        <v>490</v>
      </c>
      <c r="F91" s="374">
        <v>101</v>
      </c>
      <c r="G91" s="374">
        <v>170</v>
      </c>
      <c r="H91" s="374" t="s">
        <v>372</v>
      </c>
      <c r="I91" s="247">
        <f t="shared" si="0"/>
        <v>70</v>
      </c>
      <c r="J91" s="374">
        <v>70</v>
      </c>
      <c r="K91" s="248">
        <f t="shared" si="3"/>
        <v>70</v>
      </c>
      <c r="L91" s="206">
        <f t="shared" si="1"/>
        <v>7000000</v>
      </c>
      <c r="M91" s="207">
        <f t="shared" si="2"/>
        <v>1.9757825510175282E-3</v>
      </c>
      <c r="N91" s="38" t="s">
        <v>372</v>
      </c>
    </row>
    <row r="92" spans="2:14" ht="14.85" customHeight="1">
      <c r="B92" s="424"/>
      <c r="C92" s="424"/>
      <c r="D92" s="374" t="s">
        <v>516</v>
      </c>
      <c r="E92" s="374" t="s">
        <v>490</v>
      </c>
      <c r="F92" s="374">
        <v>1</v>
      </c>
      <c r="G92" s="374">
        <v>50</v>
      </c>
      <c r="H92" s="374" t="s">
        <v>372</v>
      </c>
      <c r="I92" s="247">
        <f t="shared" si="0"/>
        <v>50</v>
      </c>
      <c r="J92" s="374">
        <v>50</v>
      </c>
      <c r="K92" s="248">
        <f t="shared" si="3"/>
        <v>50</v>
      </c>
      <c r="L92" s="206">
        <f t="shared" si="1"/>
        <v>5000000</v>
      </c>
      <c r="M92" s="207">
        <f t="shared" si="2"/>
        <v>1.4112732507268056E-3</v>
      </c>
      <c r="N92" s="38" t="s">
        <v>372</v>
      </c>
    </row>
    <row r="93" spans="2:14" ht="14.85" customHeight="1">
      <c r="B93" s="424"/>
      <c r="C93" s="424"/>
      <c r="D93" s="374" t="s">
        <v>496</v>
      </c>
      <c r="E93" s="374" t="s">
        <v>490</v>
      </c>
      <c r="F93" s="374">
        <v>1</v>
      </c>
      <c r="G93" s="374">
        <v>200</v>
      </c>
      <c r="H93" s="374" t="s">
        <v>372</v>
      </c>
      <c r="I93" s="247">
        <f t="shared" si="0"/>
        <v>200</v>
      </c>
      <c r="J93" s="374">
        <v>200</v>
      </c>
      <c r="K93" s="248">
        <f t="shared" si="3"/>
        <v>200</v>
      </c>
      <c r="L93" s="206">
        <f t="shared" si="1"/>
        <v>20000000</v>
      </c>
      <c r="M93" s="207">
        <f t="shared" si="2"/>
        <v>5.6450930029072225E-3</v>
      </c>
      <c r="N93" s="38" t="s">
        <v>372</v>
      </c>
    </row>
    <row r="94" spans="2:14" ht="14.85" customHeight="1">
      <c r="B94" s="424"/>
      <c r="C94" s="424"/>
      <c r="D94" s="374" t="s">
        <v>512</v>
      </c>
      <c r="E94" s="374" t="s">
        <v>484</v>
      </c>
      <c r="F94" s="374">
        <v>1</v>
      </c>
      <c r="G94" s="374">
        <v>200</v>
      </c>
      <c r="H94" s="374" t="s">
        <v>372</v>
      </c>
      <c r="I94" s="247">
        <f t="shared" si="0"/>
        <v>200</v>
      </c>
      <c r="J94" s="374">
        <v>200</v>
      </c>
      <c r="K94" s="248">
        <f t="shared" si="3"/>
        <v>200</v>
      </c>
      <c r="L94" s="206">
        <f t="shared" si="1"/>
        <v>20000000</v>
      </c>
      <c r="M94" s="207">
        <f t="shared" si="2"/>
        <v>5.6450930029072225E-3</v>
      </c>
      <c r="N94" s="38" t="s">
        <v>372</v>
      </c>
    </row>
    <row r="95" spans="2:14" ht="14.85" customHeight="1">
      <c r="B95" s="424"/>
      <c r="C95" s="424"/>
      <c r="D95" s="374" t="s">
        <v>517</v>
      </c>
      <c r="E95" s="374" t="s">
        <v>484</v>
      </c>
      <c r="F95" s="374">
        <v>1</v>
      </c>
      <c r="G95" s="374">
        <v>200</v>
      </c>
      <c r="H95" s="374" t="s">
        <v>372</v>
      </c>
      <c r="I95" s="247">
        <f t="shared" si="0"/>
        <v>200</v>
      </c>
      <c r="J95" s="374">
        <v>200</v>
      </c>
      <c r="K95" s="248">
        <f t="shared" si="3"/>
        <v>200</v>
      </c>
      <c r="L95" s="206">
        <f t="shared" si="1"/>
        <v>20000000</v>
      </c>
      <c r="M95" s="207">
        <f t="shared" si="2"/>
        <v>5.6450930029072225E-3</v>
      </c>
      <c r="N95" s="38" t="s">
        <v>372</v>
      </c>
    </row>
    <row r="96" spans="2:14" ht="14.85" customHeight="1">
      <c r="B96" s="424"/>
      <c r="C96" s="424"/>
      <c r="D96" s="374" t="s">
        <v>518</v>
      </c>
      <c r="E96" s="374" t="s">
        <v>484</v>
      </c>
      <c r="F96" s="374">
        <v>1</v>
      </c>
      <c r="G96" s="374">
        <v>200</v>
      </c>
      <c r="H96" s="374" t="s">
        <v>372</v>
      </c>
      <c r="I96" s="247">
        <f t="shared" si="0"/>
        <v>200</v>
      </c>
      <c r="J96" s="374">
        <v>200</v>
      </c>
      <c r="K96" s="248">
        <f t="shared" si="3"/>
        <v>200</v>
      </c>
      <c r="L96" s="206">
        <f t="shared" si="1"/>
        <v>20000000</v>
      </c>
      <c r="M96" s="207">
        <f t="shared" si="2"/>
        <v>5.6450930029072225E-3</v>
      </c>
      <c r="N96" s="38" t="s">
        <v>372</v>
      </c>
    </row>
    <row r="97" spans="2:14" ht="14.85" customHeight="1">
      <c r="B97" s="424"/>
      <c r="C97" s="424"/>
      <c r="D97" s="374" t="s">
        <v>519</v>
      </c>
      <c r="E97" s="374" t="s">
        <v>484</v>
      </c>
      <c r="F97" s="374">
        <v>1</v>
      </c>
      <c r="G97" s="374">
        <v>200</v>
      </c>
      <c r="H97" s="374" t="s">
        <v>372</v>
      </c>
      <c r="I97" s="247">
        <f t="shared" si="0"/>
        <v>200</v>
      </c>
      <c r="J97" s="374">
        <v>200</v>
      </c>
      <c r="K97" s="248">
        <f t="shared" si="3"/>
        <v>200</v>
      </c>
      <c r="L97" s="206">
        <f t="shared" si="1"/>
        <v>20000000</v>
      </c>
      <c r="M97" s="207">
        <f t="shared" si="2"/>
        <v>5.6450930029072225E-3</v>
      </c>
      <c r="N97" s="38" t="s">
        <v>372</v>
      </c>
    </row>
    <row r="98" spans="2:14" ht="14.85" customHeight="1">
      <c r="B98" s="424"/>
      <c r="C98" s="424"/>
      <c r="D98" s="374" t="s">
        <v>520</v>
      </c>
      <c r="E98" s="374" t="s">
        <v>484</v>
      </c>
      <c r="F98" s="374">
        <v>1</v>
      </c>
      <c r="G98" s="374">
        <v>200</v>
      </c>
      <c r="H98" s="374" t="s">
        <v>372</v>
      </c>
      <c r="I98" s="247">
        <f t="shared" si="0"/>
        <v>200</v>
      </c>
      <c r="J98" s="374">
        <v>200</v>
      </c>
      <c r="K98" s="248">
        <f t="shared" si="3"/>
        <v>200</v>
      </c>
      <c r="L98" s="206">
        <f t="shared" si="1"/>
        <v>20000000</v>
      </c>
      <c r="M98" s="207">
        <f t="shared" si="2"/>
        <v>5.6450930029072225E-3</v>
      </c>
      <c r="N98" s="38" t="s">
        <v>372</v>
      </c>
    </row>
    <row r="99" spans="2:14" ht="14.85" customHeight="1">
      <c r="B99" s="424"/>
      <c r="C99" s="424"/>
      <c r="D99" s="374" t="s">
        <v>521</v>
      </c>
      <c r="E99" s="374" t="s">
        <v>484</v>
      </c>
      <c r="F99" s="374">
        <v>1</v>
      </c>
      <c r="G99" s="374">
        <v>200</v>
      </c>
      <c r="H99" s="374" t="s">
        <v>372</v>
      </c>
      <c r="I99" s="247">
        <f t="shared" si="0"/>
        <v>200</v>
      </c>
      <c r="J99" s="374">
        <v>200</v>
      </c>
      <c r="K99" s="248">
        <f t="shared" si="3"/>
        <v>200</v>
      </c>
      <c r="L99" s="206">
        <f t="shared" si="1"/>
        <v>20000000</v>
      </c>
      <c r="M99" s="207">
        <f t="shared" si="2"/>
        <v>5.6450930029072225E-3</v>
      </c>
      <c r="N99" s="38" t="s">
        <v>372</v>
      </c>
    </row>
    <row r="100" spans="2:14" ht="14.85" customHeight="1">
      <c r="B100" s="424"/>
      <c r="C100" s="424"/>
      <c r="D100" s="374" t="s">
        <v>522</v>
      </c>
      <c r="E100" s="374" t="s">
        <v>523</v>
      </c>
      <c r="F100" s="374">
        <v>1</v>
      </c>
      <c r="G100" s="374">
        <v>200</v>
      </c>
      <c r="H100" s="374" t="s">
        <v>372</v>
      </c>
      <c r="I100" s="247">
        <f t="shared" si="0"/>
        <v>200</v>
      </c>
      <c r="J100" s="374">
        <v>200</v>
      </c>
      <c r="K100" s="248">
        <f t="shared" si="3"/>
        <v>200</v>
      </c>
      <c r="L100" s="206">
        <f t="shared" si="1"/>
        <v>20000000</v>
      </c>
      <c r="M100" s="207">
        <f t="shared" si="2"/>
        <v>5.6450930029072225E-3</v>
      </c>
      <c r="N100" s="38" t="s">
        <v>372</v>
      </c>
    </row>
    <row r="101" spans="2:14" ht="14.85" customHeight="1">
      <c r="B101" s="424"/>
      <c r="C101" s="424"/>
      <c r="D101" s="374" t="s">
        <v>524</v>
      </c>
      <c r="E101" s="374" t="s">
        <v>523</v>
      </c>
      <c r="F101" s="374">
        <v>1</v>
      </c>
      <c r="G101" s="374">
        <v>192</v>
      </c>
      <c r="H101" s="374" t="s">
        <v>372</v>
      </c>
      <c r="I101" s="247">
        <f t="shared" si="0"/>
        <v>192</v>
      </c>
      <c r="J101" s="374">
        <v>192</v>
      </c>
      <c r="K101" s="248">
        <f t="shared" si="3"/>
        <v>192</v>
      </c>
      <c r="L101" s="206">
        <f t="shared" si="1"/>
        <v>19200000</v>
      </c>
      <c r="M101" s="207">
        <f t="shared" si="2"/>
        <v>5.4192892827909338E-3</v>
      </c>
      <c r="N101" s="38" t="s">
        <v>372</v>
      </c>
    </row>
    <row r="102" spans="2:14" ht="14.85" customHeight="1">
      <c r="B102" s="424"/>
      <c r="C102" s="424"/>
      <c r="D102" s="374" t="s">
        <v>525</v>
      </c>
      <c r="E102" s="374" t="s">
        <v>523</v>
      </c>
      <c r="F102" s="374">
        <v>1</v>
      </c>
      <c r="G102" s="374">
        <v>200</v>
      </c>
      <c r="H102" s="374" t="s">
        <v>372</v>
      </c>
      <c r="I102" s="247">
        <f t="shared" si="0"/>
        <v>200</v>
      </c>
      <c r="J102" s="374">
        <v>200</v>
      </c>
      <c r="K102" s="248">
        <f t="shared" si="3"/>
        <v>200</v>
      </c>
      <c r="L102" s="206">
        <f t="shared" si="1"/>
        <v>20000000</v>
      </c>
      <c r="M102" s="207">
        <f t="shared" si="2"/>
        <v>5.6450930029072225E-3</v>
      </c>
      <c r="N102" s="38" t="s">
        <v>372</v>
      </c>
    </row>
    <row r="103" spans="2:14" ht="14.85" customHeight="1">
      <c r="B103" s="424"/>
      <c r="C103" s="424"/>
      <c r="D103" s="374" t="s">
        <v>526</v>
      </c>
      <c r="E103" s="374" t="s">
        <v>523</v>
      </c>
      <c r="F103" s="374">
        <v>1</v>
      </c>
      <c r="G103" s="374">
        <v>200</v>
      </c>
      <c r="H103" s="374" t="s">
        <v>372</v>
      </c>
      <c r="I103" s="247">
        <f t="shared" si="0"/>
        <v>200</v>
      </c>
      <c r="J103" s="374">
        <v>200</v>
      </c>
      <c r="K103" s="248">
        <f t="shared" si="3"/>
        <v>200</v>
      </c>
      <c r="L103" s="206">
        <f t="shared" si="1"/>
        <v>20000000</v>
      </c>
      <c r="M103" s="207">
        <f t="shared" si="2"/>
        <v>5.6450930029072225E-3</v>
      </c>
      <c r="N103" s="38" t="s">
        <v>372</v>
      </c>
    </row>
    <row r="104" spans="2:14" ht="14.85" customHeight="1">
      <c r="B104" s="424"/>
      <c r="C104" s="424"/>
      <c r="D104" s="374" t="s">
        <v>527</v>
      </c>
      <c r="E104" s="374" t="s">
        <v>523</v>
      </c>
      <c r="F104" s="374">
        <v>1</v>
      </c>
      <c r="G104" s="374">
        <v>200</v>
      </c>
      <c r="H104" s="374" t="s">
        <v>372</v>
      </c>
      <c r="I104" s="247">
        <f t="shared" si="0"/>
        <v>200</v>
      </c>
      <c r="J104" s="374">
        <v>200</v>
      </c>
      <c r="K104" s="248">
        <f t="shared" si="3"/>
        <v>200</v>
      </c>
      <c r="L104" s="206">
        <f t="shared" si="1"/>
        <v>20000000</v>
      </c>
      <c r="M104" s="207">
        <f t="shared" si="2"/>
        <v>5.6450930029072225E-3</v>
      </c>
      <c r="N104" s="38" t="s">
        <v>372</v>
      </c>
    </row>
    <row r="105" spans="2:14" ht="14.85" customHeight="1">
      <c r="B105" s="424"/>
      <c r="C105" s="424"/>
      <c r="D105" s="374" t="s">
        <v>528</v>
      </c>
      <c r="E105" s="374" t="s">
        <v>523</v>
      </c>
      <c r="F105" s="374">
        <v>1</v>
      </c>
      <c r="G105" s="374">
        <v>200</v>
      </c>
      <c r="H105" s="374" t="s">
        <v>372</v>
      </c>
      <c r="I105" s="247">
        <f t="shared" si="0"/>
        <v>200</v>
      </c>
      <c r="J105" s="374">
        <v>200</v>
      </c>
      <c r="K105" s="248">
        <f t="shared" si="3"/>
        <v>200</v>
      </c>
      <c r="L105" s="206">
        <f t="shared" si="1"/>
        <v>20000000</v>
      </c>
      <c r="M105" s="207">
        <f t="shared" si="2"/>
        <v>5.6450930029072225E-3</v>
      </c>
      <c r="N105" s="38" t="s">
        <v>372</v>
      </c>
    </row>
    <row r="106" spans="2:14" ht="14.85" customHeight="1">
      <c r="B106" s="424"/>
      <c r="C106" s="424"/>
      <c r="D106" s="374" t="s">
        <v>529</v>
      </c>
      <c r="E106" s="374" t="s">
        <v>499</v>
      </c>
      <c r="F106" s="374">
        <v>1</v>
      </c>
      <c r="G106" s="374">
        <v>200</v>
      </c>
      <c r="H106" s="374" t="s">
        <v>372</v>
      </c>
      <c r="I106" s="247">
        <f t="shared" si="0"/>
        <v>200</v>
      </c>
      <c r="J106" s="374">
        <v>200</v>
      </c>
      <c r="K106" s="248">
        <f t="shared" si="3"/>
        <v>200</v>
      </c>
      <c r="L106" s="206">
        <f t="shared" si="1"/>
        <v>20000000</v>
      </c>
      <c r="M106" s="207">
        <f t="shared" si="2"/>
        <v>5.6450930029072225E-3</v>
      </c>
      <c r="N106" s="38" t="s">
        <v>372</v>
      </c>
    </row>
    <row r="107" spans="2:14" ht="14.85" customHeight="1">
      <c r="B107" s="424"/>
      <c r="C107" s="424"/>
      <c r="D107" s="374" t="s">
        <v>530</v>
      </c>
      <c r="E107" s="374" t="s">
        <v>499</v>
      </c>
      <c r="F107" s="374">
        <v>1</v>
      </c>
      <c r="G107" s="374">
        <v>200</v>
      </c>
      <c r="H107" s="374" t="s">
        <v>372</v>
      </c>
      <c r="I107" s="247">
        <f t="shared" si="0"/>
        <v>200</v>
      </c>
      <c r="J107" s="374">
        <v>200</v>
      </c>
      <c r="K107" s="248">
        <f t="shared" si="3"/>
        <v>200</v>
      </c>
      <c r="L107" s="206">
        <f t="shared" si="1"/>
        <v>20000000</v>
      </c>
      <c r="M107" s="207">
        <f t="shared" si="2"/>
        <v>5.6450930029072225E-3</v>
      </c>
      <c r="N107" s="38" t="s">
        <v>372</v>
      </c>
    </row>
    <row r="108" spans="2:14" ht="14.85" customHeight="1">
      <c r="B108" s="424"/>
      <c r="C108" s="424"/>
      <c r="D108" s="374" t="s">
        <v>485</v>
      </c>
      <c r="E108" s="374" t="s">
        <v>517</v>
      </c>
      <c r="F108" s="374">
        <v>2763</v>
      </c>
      <c r="G108" s="374">
        <v>5000</v>
      </c>
      <c r="H108" s="374" t="s">
        <v>372</v>
      </c>
      <c r="I108" s="247">
        <f t="shared" si="0"/>
        <v>2238</v>
      </c>
      <c r="J108" s="374">
        <v>2238</v>
      </c>
      <c r="K108" s="248">
        <f t="shared" si="3"/>
        <v>2238</v>
      </c>
      <c r="L108" s="206">
        <f t="shared" si="1"/>
        <v>223800000</v>
      </c>
      <c r="M108" s="207">
        <f t="shared" si="2"/>
        <v>6.3168590702531821E-2</v>
      </c>
      <c r="N108" s="38" t="s">
        <v>372</v>
      </c>
    </row>
    <row r="109" spans="2:14" ht="14.85" customHeight="1">
      <c r="B109" s="424"/>
      <c r="C109" s="424"/>
      <c r="D109" s="374" t="s">
        <v>531</v>
      </c>
      <c r="E109" s="374" t="s">
        <v>517</v>
      </c>
      <c r="F109" s="374">
        <v>1</v>
      </c>
      <c r="G109" s="374">
        <v>170</v>
      </c>
      <c r="H109" s="374" t="s">
        <v>372</v>
      </c>
      <c r="I109" s="247">
        <f t="shared" si="0"/>
        <v>170</v>
      </c>
      <c r="J109" s="374">
        <v>170</v>
      </c>
      <c r="K109" s="248">
        <f t="shared" si="3"/>
        <v>170</v>
      </c>
      <c r="L109" s="206">
        <f t="shared" si="1"/>
        <v>17000000</v>
      </c>
      <c r="M109" s="207">
        <f t="shared" si="2"/>
        <v>4.7983290524711399E-3</v>
      </c>
      <c r="N109" s="38" t="s">
        <v>372</v>
      </c>
    </row>
    <row r="110" spans="2:14" ht="14.85" customHeight="1">
      <c r="B110" s="424"/>
      <c r="C110" s="424"/>
      <c r="D110" s="374" t="s">
        <v>501</v>
      </c>
      <c r="E110" s="374" t="s">
        <v>508</v>
      </c>
      <c r="F110" s="374">
        <v>1</v>
      </c>
      <c r="G110" s="374">
        <v>200</v>
      </c>
      <c r="H110" s="374" t="s">
        <v>372</v>
      </c>
      <c r="I110" s="247">
        <f t="shared" si="0"/>
        <v>200</v>
      </c>
      <c r="J110" s="374">
        <v>200</v>
      </c>
      <c r="K110" s="248">
        <f t="shared" si="3"/>
        <v>200</v>
      </c>
      <c r="L110" s="206">
        <f t="shared" si="1"/>
        <v>20000000</v>
      </c>
      <c r="M110" s="207">
        <f t="shared" si="2"/>
        <v>5.6450930029072225E-3</v>
      </c>
      <c r="N110" s="38" t="s">
        <v>372</v>
      </c>
    </row>
    <row r="111" spans="2:14" ht="14.85" customHeight="1">
      <c r="B111" s="424"/>
      <c r="C111" s="424"/>
      <c r="D111" s="374" t="s">
        <v>532</v>
      </c>
      <c r="E111" s="374" t="s">
        <v>508</v>
      </c>
      <c r="F111" s="374">
        <v>1</v>
      </c>
      <c r="G111" s="374">
        <v>200</v>
      </c>
      <c r="H111" s="374" t="s">
        <v>372</v>
      </c>
      <c r="I111" s="247">
        <f t="shared" si="0"/>
        <v>200</v>
      </c>
      <c r="J111" s="374">
        <v>200</v>
      </c>
      <c r="K111" s="248">
        <f t="shared" si="3"/>
        <v>200</v>
      </c>
      <c r="L111" s="206">
        <f t="shared" si="1"/>
        <v>20000000</v>
      </c>
      <c r="M111" s="207">
        <f t="shared" si="2"/>
        <v>5.6450930029072225E-3</v>
      </c>
      <c r="N111" s="38" t="s">
        <v>372</v>
      </c>
    </row>
    <row r="112" spans="2:14" ht="14.85" customHeight="1">
      <c r="B112" s="424"/>
      <c r="C112" s="424"/>
      <c r="D112" s="374" t="s">
        <v>533</v>
      </c>
      <c r="E112" s="374" t="s">
        <v>508</v>
      </c>
      <c r="F112" s="374">
        <v>1</v>
      </c>
      <c r="G112" s="374">
        <v>200</v>
      </c>
      <c r="H112" s="374" t="s">
        <v>372</v>
      </c>
      <c r="I112" s="247">
        <f t="shared" si="0"/>
        <v>200</v>
      </c>
      <c r="J112" s="374">
        <v>200</v>
      </c>
      <c r="K112" s="248">
        <f t="shared" si="3"/>
        <v>200</v>
      </c>
      <c r="L112" s="206">
        <f t="shared" si="1"/>
        <v>20000000</v>
      </c>
      <c r="M112" s="207">
        <f t="shared" si="2"/>
        <v>5.6450930029072225E-3</v>
      </c>
      <c r="N112" s="38" t="s">
        <v>372</v>
      </c>
    </row>
    <row r="113" spans="2:14" ht="14.85" customHeight="1">
      <c r="B113" s="424"/>
      <c r="C113" s="424"/>
      <c r="D113" s="374" t="s">
        <v>534</v>
      </c>
      <c r="E113" s="374" t="s">
        <v>508</v>
      </c>
      <c r="F113" s="374">
        <v>1</v>
      </c>
      <c r="G113" s="374">
        <v>200</v>
      </c>
      <c r="H113" s="374" t="s">
        <v>372</v>
      </c>
      <c r="I113" s="247">
        <f t="shared" si="0"/>
        <v>200</v>
      </c>
      <c r="J113" s="374">
        <v>200</v>
      </c>
      <c r="K113" s="248">
        <f t="shared" si="3"/>
        <v>200</v>
      </c>
      <c r="L113" s="206">
        <f t="shared" si="1"/>
        <v>20000000</v>
      </c>
      <c r="M113" s="207">
        <f t="shared" si="2"/>
        <v>5.6450930029072225E-3</v>
      </c>
      <c r="N113" s="38" t="s">
        <v>372</v>
      </c>
    </row>
    <row r="114" spans="2:14" ht="14.85" customHeight="1">
      <c r="B114" s="424"/>
      <c r="C114" s="424"/>
      <c r="D114" s="374" t="s">
        <v>495</v>
      </c>
      <c r="E114" s="374" t="s">
        <v>508</v>
      </c>
      <c r="F114" s="374">
        <v>1</v>
      </c>
      <c r="G114" s="374">
        <v>200</v>
      </c>
      <c r="H114" s="374" t="s">
        <v>372</v>
      </c>
      <c r="I114" s="247">
        <f t="shared" si="0"/>
        <v>200</v>
      </c>
      <c r="J114" s="374">
        <v>200</v>
      </c>
      <c r="K114" s="248">
        <f t="shared" si="3"/>
        <v>200</v>
      </c>
      <c r="L114" s="206">
        <f t="shared" si="1"/>
        <v>20000000</v>
      </c>
      <c r="M114" s="207">
        <f t="shared" si="2"/>
        <v>5.6450930029072225E-3</v>
      </c>
      <c r="N114" s="38" t="s">
        <v>372</v>
      </c>
    </row>
    <row r="115" spans="2:14" ht="14.85" customHeight="1">
      <c r="B115" s="424"/>
      <c r="C115" s="424"/>
      <c r="D115" s="374" t="s">
        <v>535</v>
      </c>
      <c r="E115" s="374" t="s">
        <v>508</v>
      </c>
      <c r="F115" s="374">
        <v>1</v>
      </c>
      <c r="G115" s="374">
        <v>200</v>
      </c>
      <c r="H115" s="374" t="s">
        <v>372</v>
      </c>
      <c r="I115" s="247">
        <f t="shared" si="0"/>
        <v>200</v>
      </c>
      <c r="J115" s="374">
        <v>200</v>
      </c>
      <c r="K115" s="248">
        <f t="shared" si="3"/>
        <v>200</v>
      </c>
      <c r="L115" s="206">
        <f t="shared" si="1"/>
        <v>20000000</v>
      </c>
      <c r="M115" s="207">
        <f t="shared" si="2"/>
        <v>5.6450930029072225E-3</v>
      </c>
      <c r="N115" s="38" t="s">
        <v>372</v>
      </c>
    </row>
    <row r="116" spans="2:14" ht="14.85" customHeight="1">
      <c r="B116" s="424"/>
      <c r="C116" s="424"/>
      <c r="D116" s="374" t="s">
        <v>536</v>
      </c>
      <c r="E116" s="374" t="s">
        <v>503</v>
      </c>
      <c r="F116" s="374">
        <v>1</v>
      </c>
      <c r="G116" s="374">
        <v>200</v>
      </c>
      <c r="H116" s="374" t="s">
        <v>372</v>
      </c>
      <c r="I116" s="247">
        <f t="shared" si="0"/>
        <v>200</v>
      </c>
      <c r="J116" s="374">
        <v>200</v>
      </c>
      <c r="K116" s="248">
        <f t="shared" si="3"/>
        <v>200</v>
      </c>
      <c r="L116" s="206">
        <f t="shared" si="1"/>
        <v>20000000</v>
      </c>
      <c r="M116" s="207">
        <f t="shared" si="2"/>
        <v>5.6450930029072225E-3</v>
      </c>
      <c r="N116" s="38" t="s">
        <v>372</v>
      </c>
    </row>
    <row r="117" spans="2:14" ht="14.85" customHeight="1">
      <c r="B117" s="424"/>
      <c r="C117" s="424"/>
      <c r="D117" s="374" t="s">
        <v>487</v>
      </c>
      <c r="E117" s="374" t="s">
        <v>503</v>
      </c>
      <c r="F117" s="374">
        <v>1</v>
      </c>
      <c r="G117" s="374">
        <v>200</v>
      </c>
      <c r="H117" s="374" t="s">
        <v>372</v>
      </c>
      <c r="I117" s="247">
        <f t="shared" si="0"/>
        <v>200</v>
      </c>
      <c r="J117" s="374">
        <v>200</v>
      </c>
      <c r="K117" s="248">
        <f t="shared" si="3"/>
        <v>200</v>
      </c>
      <c r="L117" s="206">
        <f t="shared" si="1"/>
        <v>20000000</v>
      </c>
      <c r="M117" s="207">
        <f t="shared" si="2"/>
        <v>5.6450930029072225E-3</v>
      </c>
      <c r="N117" s="38" t="s">
        <v>372</v>
      </c>
    </row>
    <row r="118" spans="2:14" ht="14.85" customHeight="1">
      <c r="B118" s="424"/>
      <c r="C118" s="424"/>
      <c r="D118" s="374" t="s">
        <v>537</v>
      </c>
      <c r="E118" s="374" t="s">
        <v>503</v>
      </c>
      <c r="F118" s="374">
        <v>1</v>
      </c>
      <c r="G118" s="374">
        <v>200</v>
      </c>
      <c r="H118" s="374" t="s">
        <v>372</v>
      </c>
      <c r="I118" s="247">
        <f t="shared" si="0"/>
        <v>200</v>
      </c>
      <c r="J118" s="374">
        <v>200</v>
      </c>
      <c r="K118" s="248">
        <f t="shared" si="3"/>
        <v>200</v>
      </c>
      <c r="L118" s="206">
        <f t="shared" si="1"/>
        <v>20000000</v>
      </c>
      <c r="M118" s="207">
        <f t="shared" si="2"/>
        <v>5.6450930029072225E-3</v>
      </c>
      <c r="N118" s="38" t="s">
        <v>372</v>
      </c>
    </row>
    <row r="119" spans="2:14" ht="14.85" customHeight="1">
      <c r="B119" s="424"/>
      <c r="C119" s="424"/>
      <c r="D119" s="374" t="s">
        <v>538</v>
      </c>
      <c r="E119" s="374" t="s">
        <v>503</v>
      </c>
      <c r="F119" s="374">
        <v>1</v>
      </c>
      <c r="G119" s="374">
        <v>200</v>
      </c>
      <c r="H119" s="374" t="s">
        <v>372</v>
      </c>
      <c r="I119" s="247">
        <f t="shared" si="0"/>
        <v>200</v>
      </c>
      <c r="J119" s="374">
        <v>200</v>
      </c>
      <c r="K119" s="248">
        <f t="shared" si="3"/>
        <v>200</v>
      </c>
      <c r="L119" s="206">
        <f t="shared" si="1"/>
        <v>20000000</v>
      </c>
      <c r="M119" s="207">
        <f t="shared" si="2"/>
        <v>5.6450930029072225E-3</v>
      </c>
      <c r="N119" s="38" t="s">
        <v>372</v>
      </c>
    </row>
    <row r="120" spans="2:14" ht="14.85" customHeight="1">
      <c r="B120" s="424"/>
      <c r="C120" s="424"/>
      <c r="D120" s="374" t="s">
        <v>505</v>
      </c>
      <c r="E120" s="374" t="s">
        <v>503</v>
      </c>
      <c r="F120" s="374">
        <v>1</v>
      </c>
      <c r="G120" s="374">
        <v>200</v>
      </c>
      <c r="H120" s="374" t="s">
        <v>372</v>
      </c>
      <c r="I120" s="247">
        <f t="shared" si="0"/>
        <v>200</v>
      </c>
      <c r="J120" s="374">
        <v>200</v>
      </c>
      <c r="K120" s="248">
        <f t="shared" si="3"/>
        <v>200</v>
      </c>
      <c r="L120" s="206">
        <f t="shared" si="1"/>
        <v>20000000</v>
      </c>
      <c r="M120" s="207">
        <f t="shared" si="2"/>
        <v>5.6450930029072225E-3</v>
      </c>
      <c r="N120" s="38" t="s">
        <v>372</v>
      </c>
    </row>
    <row r="121" spans="2:14" ht="14.85" customHeight="1">
      <c r="B121" s="424"/>
      <c r="C121" s="424"/>
      <c r="D121" s="374" t="s">
        <v>510</v>
      </c>
      <c r="E121" s="374" t="s">
        <v>515</v>
      </c>
      <c r="F121" s="374">
        <v>1</v>
      </c>
      <c r="G121" s="374">
        <v>92</v>
      </c>
      <c r="H121" s="374" t="s">
        <v>372</v>
      </c>
      <c r="I121" s="247">
        <f t="shared" si="0"/>
        <v>92</v>
      </c>
      <c r="J121" s="374">
        <v>92</v>
      </c>
      <c r="K121" s="248">
        <f t="shared" si="3"/>
        <v>92</v>
      </c>
      <c r="L121" s="206">
        <f t="shared" si="1"/>
        <v>9200000</v>
      </c>
      <c r="M121" s="207">
        <f t="shared" si="2"/>
        <v>2.5967427813373225E-3</v>
      </c>
      <c r="N121" s="38" t="s">
        <v>372</v>
      </c>
    </row>
    <row r="122" spans="2:14" ht="14.85" customHeight="1">
      <c r="B122" s="424"/>
      <c r="C122" s="424"/>
      <c r="D122" s="374" t="s">
        <v>539</v>
      </c>
      <c r="E122" s="374" t="s">
        <v>515</v>
      </c>
      <c r="F122" s="374">
        <v>101</v>
      </c>
      <c r="G122" s="374">
        <v>200</v>
      </c>
      <c r="H122" s="374" t="s">
        <v>372</v>
      </c>
      <c r="I122" s="247">
        <f t="shared" si="0"/>
        <v>100</v>
      </c>
      <c r="J122" s="374">
        <v>100</v>
      </c>
      <c r="K122" s="248">
        <f t="shared" si="3"/>
        <v>100</v>
      </c>
      <c r="L122" s="206">
        <f t="shared" si="1"/>
        <v>10000000</v>
      </c>
      <c r="M122" s="207">
        <f t="shared" si="2"/>
        <v>2.8225465014536113E-3</v>
      </c>
      <c r="N122" s="38" t="s">
        <v>372</v>
      </c>
    </row>
    <row r="123" spans="2:14" ht="14.85" customHeight="1">
      <c r="B123" s="424"/>
      <c r="C123" s="424"/>
      <c r="D123" s="374" t="s">
        <v>540</v>
      </c>
      <c r="E123" s="374" t="s">
        <v>515</v>
      </c>
      <c r="F123" s="374">
        <v>1</v>
      </c>
      <c r="G123" s="374">
        <v>200</v>
      </c>
      <c r="H123" s="374" t="s">
        <v>372</v>
      </c>
      <c r="I123" s="247">
        <f t="shared" si="0"/>
        <v>200</v>
      </c>
      <c r="J123" s="374">
        <v>200</v>
      </c>
      <c r="K123" s="248">
        <f t="shared" si="3"/>
        <v>200</v>
      </c>
      <c r="L123" s="206">
        <f t="shared" si="1"/>
        <v>20000000</v>
      </c>
      <c r="M123" s="207">
        <f t="shared" si="2"/>
        <v>5.6450930029072225E-3</v>
      </c>
      <c r="N123" s="38" t="s">
        <v>372</v>
      </c>
    </row>
    <row r="124" spans="2:14" ht="14.85" customHeight="1">
      <c r="B124" s="424"/>
      <c r="C124" s="424"/>
      <c r="D124" s="374" t="s">
        <v>504</v>
      </c>
      <c r="E124" s="374" t="s">
        <v>536</v>
      </c>
      <c r="F124" s="374">
        <v>138</v>
      </c>
      <c r="G124" s="374">
        <v>200</v>
      </c>
      <c r="H124" s="374" t="s">
        <v>372</v>
      </c>
      <c r="I124" s="247">
        <f t="shared" si="0"/>
        <v>63</v>
      </c>
      <c r="J124" s="374">
        <v>63</v>
      </c>
      <c r="K124" s="248">
        <f t="shared" si="3"/>
        <v>63</v>
      </c>
      <c r="L124" s="206">
        <f t="shared" si="1"/>
        <v>6300000</v>
      </c>
      <c r="M124" s="207">
        <f t="shared" si="2"/>
        <v>1.7782042959157752E-3</v>
      </c>
      <c r="N124" s="38" t="s">
        <v>372</v>
      </c>
    </row>
    <row r="125" spans="2:14" ht="14.85" customHeight="1">
      <c r="B125" s="424"/>
      <c r="C125" s="424"/>
      <c r="D125" s="374" t="s">
        <v>499</v>
      </c>
      <c r="E125" s="374" t="s">
        <v>536</v>
      </c>
      <c r="F125" s="374">
        <v>1</v>
      </c>
      <c r="G125" s="374">
        <v>200</v>
      </c>
      <c r="H125" s="374" t="s">
        <v>372</v>
      </c>
      <c r="I125" s="247">
        <f t="shared" ref="I125:I188" si="4">IF(H125="Ordinaria",+J125,0)</f>
        <v>200</v>
      </c>
      <c r="J125" s="374">
        <v>200</v>
      </c>
      <c r="K125" s="248">
        <f t="shared" si="3"/>
        <v>200</v>
      </c>
      <c r="L125" s="206">
        <f t="shared" ref="L125:L188" si="5">J125*100000</f>
        <v>20000000</v>
      </c>
      <c r="M125" s="207">
        <f t="shared" ref="M125:M188" si="6">+L125/$L$245</f>
        <v>5.6450930029072225E-3</v>
      </c>
      <c r="N125" s="38" t="s">
        <v>372</v>
      </c>
    </row>
    <row r="126" spans="2:14" ht="14.85" customHeight="1">
      <c r="B126" s="424"/>
      <c r="C126" s="424"/>
      <c r="D126" s="374" t="s">
        <v>485</v>
      </c>
      <c r="E126" s="374" t="s">
        <v>537</v>
      </c>
      <c r="F126" s="374">
        <v>13</v>
      </c>
      <c r="G126" s="374">
        <v>2420</v>
      </c>
      <c r="H126" s="374" t="s">
        <v>372</v>
      </c>
      <c r="I126" s="247">
        <f t="shared" si="4"/>
        <v>2408</v>
      </c>
      <c r="J126" s="374">
        <v>2408</v>
      </c>
      <c r="K126" s="248">
        <f t="shared" ref="K126:K189" si="7">+I126</f>
        <v>2408</v>
      </c>
      <c r="L126" s="206">
        <f t="shared" si="5"/>
        <v>240800000</v>
      </c>
      <c r="M126" s="207">
        <f t="shared" si="6"/>
        <v>6.7966919755002964E-2</v>
      </c>
      <c r="N126" s="38" t="s">
        <v>372</v>
      </c>
    </row>
    <row r="127" spans="2:14" ht="14.85" customHeight="1">
      <c r="B127" s="424">
        <v>6</v>
      </c>
      <c r="C127" s="424" t="s">
        <v>541</v>
      </c>
      <c r="D127" s="374" t="s">
        <v>483</v>
      </c>
      <c r="E127" s="374" t="s">
        <v>501</v>
      </c>
      <c r="F127" s="374">
        <v>166</v>
      </c>
      <c r="G127" s="374">
        <v>180</v>
      </c>
      <c r="H127" s="374" t="s">
        <v>372</v>
      </c>
      <c r="I127" s="247">
        <f t="shared" si="4"/>
        <v>15</v>
      </c>
      <c r="J127" s="374">
        <v>15</v>
      </c>
      <c r="K127" s="248">
        <f t="shared" si="7"/>
        <v>15</v>
      </c>
      <c r="L127" s="206">
        <f t="shared" si="5"/>
        <v>1500000</v>
      </c>
      <c r="M127" s="207">
        <f t="shared" si="6"/>
        <v>4.233819752180417E-4</v>
      </c>
      <c r="N127" s="38" t="s">
        <v>372</v>
      </c>
    </row>
    <row r="128" spans="2:14" ht="14.85" customHeight="1">
      <c r="B128" s="424"/>
      <c r="C128" s="424"/>
      <c r="D128" s="374" t="s">
        <v>508</v>
      </c>
      <c r="E128" s="374" t="s">
        <v>501</v>
      </c>
      <c r="F128" s="374">
        <v>200</v>
      </c>
      <c r="G128" s="374">
        <v>200</v>
      </c>
      <c r="H128" s="374" t="s">
        <v>372</v>
      </c>
      <c r="I128" s="247">
        <f t="shared" si="4"/>
        <v>1</v>
      </c>
      <c r="J128" s="374">
        <v>1</v>
      </c>
      <c r="K128" s="248">
        <f t="shared" si="7"/>
        <v>1</v>
      </c>
      <c r="L128" s="206">
        <f t="shared" si="5"/>
        <v>100000</v>
      </c>
      <c r="M128" s="207">
        <f t="shared" si="6"/>
        <v>2.8225465014536116E-5</v>
      </c>
      <c r="N128" s="38" t="s">
        <v>372</v>
      </c>
    </row>
    <row r="129" spans="2:14" ht="14.85" customHeight="1">
      <c r="B129" s="424"/>
      <c r="C129" s="424"/>
      <c r="D129" s="374" t="s">
        <v>524</v>
      </c>
      <c r="E129" s="374" t="s">
        <v>501</v>
      </c>
      <c r="F129" s="374">
        <v>193</v>
      </c>
      <c r="G129" s="374">
        <v>200</v>
      </c>
      <c r="H129" s="374" t="s">
        <v>372</v>
      </c>
      <c r="I129" s="247">
        <f t="shared" si="4"/>
        <v>8</v>
      </c>
      <c r="J129" s="374">
        <v>8</v>
      </c>
      <c r="K129" s="248">
        <f t="shared" si="7"/>
        <v>8</v>
      </c>
      <c r="L129" s="206">
        <f t="shared" si="5"/>
        <v>800000</v>
      </c>
      <c r="M129" s="207">
        <f t="shared" si="6"/>
        <v>2.2580372011628893E-4</v>
      </c>
      <c r="N129" s="38" t="s">
        <v>372</v>
      </c>
    </row>
    <row r="130" spans="2:14" ht="14.85" customHeight="1">
      <c r="B130" s="424"/>
      <c r="C130" s="424"/>
      <c r="D130" s="374" t="s">
        <v>542</v>
      </c>
      <c r="E130" s="374" t="s">
        <v>501</v>
      </c>
      <c r="F130" s="374">
        <v>184</v>
      </c>
      <c r="G130" s="374">
        <v>200</v>
      </c>
      <c r="H130" s="374" t="s">
        <v>372</v>
      </c>
      <c r="I130" s="247">
        <f t="shared" si="4"/>
        <v>17</v>
      </c>
      <c r="J130" s="374">
        <v>17</v>
      </c>
      <c r="K130" s="248">
        <f t="shared" si="7"/>
        <v>17</v>
      </c>
      <c r="L130" s="206">
        <f t="shared" si="5"/>
        <v>1700000</v>
      </c>
      <c r="M130" s="207">
        <f t="shared" si="6"/>
        <v>4.7983290524711395E-4</v>
      </c>
      <c r="N130" s="38" t="s">
        <v>372</v>
      </c>
    </row>
    <row r="131" spans="2:14" ht="14.85" customHeight="1">
      <c r="B131" s="424"/>
      <c r="C131" s="424"/>
      <c r="D131" s="374" t="s">
        <v>539</v>
      </c>
      <c r="E131" s="374" t="s">
        <v>501</v>
      </c>
      <c r="F131" s="374">
        <v>1</v>
      </c>
      <c r="G131" s="374">
        <v>6</v>
      </c>
      <c r="H131" s="374" t="s">
        <v>372</v>
      </c>
      <c r="I131" s="247">
        <f t="shared" si="4"/>
        <v>6</v>
      </c>
      <c r="J131" s="374">
        <v>6</v>
      </c>
      <c r="K131" s="248">
        <f t="shared" si="7"/>
        <v>6</v>
      </c>
      <c r="L131" s="206">
        <f t="shared" si="5"/>
        <v>600000</v>
      </c>
      <c r="M131" s="207">
        <f t="shared" si="6"/>
        <v>1.6935279008721668E-4</v>
      </c>
      <c r="N131" s="38" t="s">
        <v>372</v>
      </c>
    </row>
    <row r="132" spans="2:14" ht="14.85" customHeight="1">
      <c r="B132" s="424"/>
      <c r="C132" s="424"/>
      <c r="D132" s="374" t="s">
        <v>531</v>
      </c>
      <c r="E132" s="374" t="s">
        <v>518</v>
      </c>
      <c r="F132" s="374">
        <v>171</v>
      </c>
      <c r="G132" s="374">
        <v>189</v>
      </c>
      <c r="H132" s="374" t="s">
        <v>372</v>
      </c>
      <c r="I132" s="247">
        <f t="shared" si="4"/>
        <v>19</v>
      </c>
      <c r="J132" s="374">
        <v>19</v>
      </c>
      <c r="K132" s="248">
        <f t="shared" si="7"/>
        <v>19</v>
      </c>
      <c r="L132" s="206">
        <f t="shared" si="5"/>
        <v>1900000</v>
      </c>
      <c r="M132" s="207">
        <f t="shared" si="6"/>
        <v>5.3628383527618614E-4</v>
      </c>
      <c r="N132" s="38" t="s">
        <v>372</v>
      </c>
    </row>
    <row r="133" spans="2:14" ht="14.85" customHeight="1">
      <c r="B133" s="424">
        <v>7</v>
      </c>
      <c r="C133" s="424" t="s">
        <v>543</v>
      </c>
      <c r="D133" s="374" t="s">
        <v>483</v>
      </c>
      <c r="E133" s="374" t="s">
        <v>536</v>
      </c>
      <c r="F133" s="374">
        <v>196</v>
      </c>
      <c r="G133" s="374">
        <v>196</v>
      </c>
      <c r="H133" s="374" t="s">
        <v>372</v>
      </c>
      <c r="I133" s="247">
        <f t="shared" si="4"/>
        <v>1</v>
      </c>
      <c r="J133" s="374">
        <v>1</v>
      </c>
      <c r="K133" s="248">
        <f t="shared" si="7"/>
        <v>1</v>
      </c>
      <c r="L133" s="206">
        <f t="shared" si="5"/>
        <v>100000</v>
      </c>
      <c r="M133" s="207">
        <f t="shared" si="6"/>
        <v>2.8225465014536116E-5</v>
      </c>
      <c r="N133" s="38" t="s">
        <v>372</v>
      </c>
    </row>
    <row r="134" spans="2:14" ht="14.85" customHeight="1">
      <c r="B134" s="424"/>
      <c r="C134" s="424"/>
      <c r="D134" s="374" t="s">
        <v>483</v>
      </c>
      <c r="E134" s="374" t="s">
        <v>487</v>
      </c>
      <c r="F134" s="374">
        <v>197</v>
      </c>
      <c r="G134" s="374">
        <v>197</v>
      </c>
      <c r="H134" s="374" t="s">
        <v>372</v>
      </c>
      <c r="I134" s="247">
        <f t="shared" si="4"/>
        <v>1</v>
      </c>
      <c r="J134" s="374">
        <v>1</v>
      </c>
      <c r="K134" s="248">
        <f t="shared" si="7"/>
        <v>1</v>
      </c>
      <c r="L134" s="206">
        <f t="shared" si="5"/>
        <v>100000</v>
      </c>
      <c r="M134" s="207">
        <f t="shared" si="6"/>
        <v>2.8225465014536116E-5</v>
      </c>
      <c r="N134" s="38" t="s">
        <v>372</v>
      </c>
    </row>
    <row r="135" spans="2:14" ht="14.85" customHeight="1">
      <c r="B135" s="424"/>
      <c r="C135" s="424"/>
      <c r="D135" s="374" t="s">
        <v>516</v>
      </c>
      <c r="E135" s="374" t="s">
        <v>544</v>
      </c>
      <c r="F135" s="374">
        <v>51</v>
      </c>
      <c r="G135" s="374">
        <v>100</v>
      </c>
      <c r="H135" s="374" t="s">
        <v>372</v>
      </c>
      <c r="I135" s="247">
        <f t="shared" si="4"/>
        <v>50</v>
      </c>
      <c r="J135" s="374">
        <v>50</v>
      </c>
      <c r="K135" s="248">
        <f t="shared" si="7"/>
        <v>50</v>
      </c>
      <c r="L135" s="206">
        <f t="shared" si="5"/>
        <v>5000000</v>
      </c>
      <c r="M135" s="207">
        <f t="shared" si="6"/>
        <v>1.4112732507268056E-3</v>
      </c>
      <c r="N135" s="38" t="s">
        <v>372</v>
      </c>
    </row>
    <row r="136" spans="2:14" ht="14.85" customHeight="1">
      <c r="B136" s="424"/>
      <c r="C136" s="424"/>
      <c r="D136" s="374" t="s">
        <v>516</v>
      </c>
      <c r="E136" s="374" t="s">
        <v>545</v>
      </c>
      <c r="F136" s="374">
        <v>101</v>
      </c>
      <c r="G136" s="374">
        <v>110</v>
      </c>
      <c r="H136" s="374" t="s">
        <v>372</v>
      </c>
      <c r="I136" s="247">
        <f t="shared" si="4"/>
        <v>10</v>
      </c>
      <c r="J136" s="374">
        <v>10</v>
      </c>
      <c r="K136" s="248">
        <f t="shared" si="7"/>
        <v>10</v>
      </c>
      <c r="L136" s="206">
        <f t="shared" si="5"/>
        <v>1000000</v>
      </c>
      <c r="M136" s="207">
        <f t="shared" si="6"/>
        <v>2.8225465014536117E-4</v>
      </c>
      <c r="N136" s="38" t="s">
        <v>372</v>
      </c>
    </row>
    <row r="137" spans="2:14" ht="14.85" customHeight="1">
      <c r="B137" s="424"/>
      <c r="C137" s="424"/>
      <c r="D137" s="374" t="s">
        <v>516</v>
      </c>
      <c r="E137" s="374" t="s">
        <v>546</v>
      </c>
      <c r="F137" s="374">
        <v>111</v>
      </c>
      <c r="G137" s="374">
        <v>120</v>
      </c>
      <c r="H137" s="374" t="s">
        <v>372</v>
      </c>
      <c r="I137" s="247">
        <f t="shared" si="4"/>
        <v>10</v>
      </c>
      <c r="J137" s="374">
        <v>10</v>
      </c>
      <c r="K137" s="248">
        <f t="shared" si="7"/>
        <v>10</v>
      </c>
      <c r="L137" s="206">
        <f t="shared" si="5"/>
        <v>1000000</v>
      </c>
      <c r="M137" s="207">
        <f t="shared" si="6"/>
        <v>2.8225465014536117E-4</v>
      </c>
      <c r="N137" s="38" t="s">
        <v>372</v>
      </c>
    </row>
    <row r="138" spans="2:14" ht="14.85" customHeight="1">
      <c r="B138" s="424"/>
      <c r="C138" s="424"/>
      <c r="D138" s="374" t="s">
        <v>516</v>
      </c>
      <c r="E138" s="374" t="s">
        <v>547</v>
      </c>
      <c r="F138" s="374">
        <v>121</v>
      </c>
      <c r="G138" s="374">
        <v>125</v>
      </c>
      <c r="H138" s="374" t="s">
        <v>372</v>
      </c>
      <c r="I138" s="247">
        <f t="shared" si="4"/>
        <v>5</v>
      </c>
      <c r="J138" s="374">
        <v>5</v>
      </c>
      <c r="K138" s="248">
        <f t="shared" si="7"/>
        <v>5</v>
      </c>
      <c r="L138" s="206">
        <f t="shared" si="5"/>
        <v>500000</v>
      </c>
      <c r="M138" s="207">
        <f t="shared" si="6"/>
        <v>1.4112732507268059E-4</v>
      </c>
      <c r="N138" s="38" t="s">
        <v>372</v>
      </c>
    </row>
    <row r="139" spans="2:14" ht="14.85" customHeight="1">
      <c r="B139" s="424"/>
      <c r="C139" s="424"/>
      <c r="D139" s="374" t="s">
        <v>516</v>
      </c>
      <c r="E139" s="374" t="s">
        <v>548</v>
      </c>
      <c r="F139" s="374">
        <v>126</v>
      </c>
      <c r="G139" s="374">
        <v>135</v>
      </c>
      <c r="H139" s="374" t="s">
        <v>372</v>
      </c>
      <c r="I139" s="247">
        <f t="shared" si="4"/>
        <v>10</v>
      </c>
      <c r="J139" s="374">
        <v>10</v>
      </c>
      <c r="K139" s="248">
        <f t="shared" si="7"/>
        <v>10</v>
      </c>
      <c r="L139" s="206">
        <f t="shared" si="5"/>
        <v>1000000</v>
      </c>
      <c r="M139" s="207">
        <f t="shared" si="6"/>
        <v>2.8225465014536117E-4</v>
      </c>
      <c r="N139" s="38" t="s">
        <v>372</v>
      </c>
    </row>
    <row r="140" spans="2:14" ht="14.85" customHeight="1">
      <c r="B140" s="424"/>
      <c r="C140" s="424"/>
      <c r="D140" s="374" t="s">
        <v>516</v>
      </c>
      <c r="E140" s="374" t="s">
        <v>549</v>
      </c>
      <c r="F140" s="374">
        <v>136</v>
      </c>
      <c r="G140" s="374">
        <v>145</v>
      </c>
      <c r="H140" s="374" t="s">
        <v>372</v>
      </c>
      <c r="I140" s="247">
        <f t="shared" si="4"/>
        <v>10</v>
      </c>
      <c r="J140" s="374">
        <v>10</v>
      </c>
      <c r="K140" s="248">
        <f t="shared" si="7"/>
        <v>10</v>
      </c>
      <c r="L140" s="206">
        <f t="shared" si="5"/>
        <v>1000000</v>
      </c>
      <c r="M140" s="207">
        <f t="shared" si="6"/>
        <v>2.8225465014536117E-4</v>
      </c>
      <c r="N140" s="38" t="s">
        <v>372</v>
      </c>
    </row>
    <row r="141" spans="2:14" ht="14.85" customHeight="1">
      <c r="B141" s="424"/>
      <c r="C141" s="424"/>
      <c r="D141" s="374" t="s">
        <v>516</v>
      </c>
      <c r="E141" s="374" t="s">
        <v>550</v>
      </c>
      <c r="F141" s="374">
        <v>146</v>
      </c>
      <c r="G141" s="374">
        <v>155</v>
      </c>
      <c r="H141" s="374" t="s">
        <v>372</v>
      </c>
      <c r="I141" s="247">
        <f t="shared" si="4"/>
        <v>10</v>
      </c>
      <c r="J141" s="374">
        <v>10</v>
      </c>
      <c r="K141" s="248">
        <f t="shared" si="7"/>
        <v>10</v>
      </c>
      <c r="L141" s="206">
        <f t="shared" si="5"/>
        <v>1000000</v>
      </c>
      <c r="M141" s="207">
        <f t="shared" si="6"/>
        <v>2.8225465014536117E-4</v>
      </c>
      <c r="N141" s="38" t="s">
        <v>372</v>
      </c>
    </row>
    <row r="142" spans="2:14" ht="14.85" customHeight="1">
      <c r="B142" s="424"/>
      <c r="C142" s="424"/>
      <c r="D142" s="374" t="s">
        <v>516</v>
      </c>
      <c r="E142" s="374" t="s">
        <v>551</v>
      </c>
      <c r="F142" s="374">
        <v>156</v>
      </c>
      <c r="G142" s="374">
        <v>160</v>
      </c>
      <c r="H142" s="374" t="s">
        <v>372</v>
      </c>
      <c r="I142" s="247">
        <f t="shared" si="4"/>
        <v>5</v>
      </c>
      <c r="J142" s="374">
        <v>5</v>
      </c>
      <c r="K142" s="248">
        <f t="shared" si="7"/>
        <v>5</v>
      </c>
      <c r="L142" s="206">
        <f t="shared" si="5"/>
        <v>500000</v>
      </c>
      <c r="M142" s="207">
        <f t="shared" si="6"/>
        <v>1.4112732507268059E-4</v>
      </c>
      <c r="N142" s="38" t="s">
        <v>372</v>
      </c>
    </row>
    <row r="143" spans="2:14" ht="14.85" customHeight="1">
      <c r="B143" s="424"/>
      <c r="C143" s="424"/>
      <c r="D143" s="374" t="s">
        <v>516</v>
      </c>
      <c r="E143" s="374" t="s">
        <v>552</v>
      </c>
      <c r="F143" s="374">
        <v>161</v>
      </c>
      <c r="G143" s="374">
        <v>161</v>
      </c>
      <c r="H143" s="374" t="s">
        <v>372</v>
      </c>
      <c r="I143" s="247">
        <f t="shared" si="4"/>
        <v>1</v>
      </c>
      <c r="J143" s="374">
        <v>1</v>
      </c>
      <c r="K143" s="248">
        <f t="shared" si="7"/>
        <v>1</v>
      </c>
      <c r="L143" s="206">
        <f t="shared" si="5"/>
        <v>100000</v>
      </c>
      <c r="M143" s="207">
        <f t="shared" si="6"/>
        <v>2.8225465014536116E-5</v>
      </c>
      <c r="N143" s="38" t="s">
        <v>372</v>
      </c>
    </row>
    <row r="144" spans="2:14" ht="14.85" customHeight="1">
      <c r="B144" s="424"/>
      <c r="C144" s="424"/>
      <c r="D144" s="374" t="s">
        <v>516</v>
      </c>
      <c r="E144" s="374" t="s">
        <v>553</v>
      </c>
      <c r="F144" s="374">
        <v>162</v>
      </c>
      <c r="G144" s="374">
        <v>162</v>
      </c>
      <c r="H144" s="374" t="s">
        <v>372</v>
      </c>
      <c r="I144" s="247">
        <f t="shared" si="4"/>
        <v>1</v>
      </c>
      <c r="J144" s="374">
        <v>1</v>
      </c>
      <c r="K144" s="248">
        <f t="shared" si="7"/>
        <v>1</v>
      </c>
      <c r="L144" s="206">
        <f t="shared" si="5"/>
        <v>100000</v>
      </c>
      <c r="M144" s="207">
        <f t="shared" si="6"/>
        <v>2.8225465014536116E-5</v>
      </c>
      <c r="N144" s="38" t="s">
        <v>372</v>
      </c>
    </row>
    <row r="145" spans="2:14" ht="14.85" customHeight="1">
      <c r="B145" s="424"/>
      <c r="C145" s="424"/>
      <c r="D145" s="374" t="s">
        <v>516</v>
      </c>
      <c r="E145" s="374" t="s">
        <v>554</v>
      </c>
      <c r="F145" s="374">
        <v>163</v>
      </c>
      <c r="G145" s="374">
        <v>163</v>
      </c>
      <c r="H145" s="374" t="s">
        <v>372</v>
      </c>
      <c r="I145" s="247">
        <f t="shared" si="4"/>
        <v>1</v>
      </c>
      <c r="J145" s="374">
        <v>1</v>
      </c>
      <c r="K145" s="248">
        <f t="shared" si="7"/>
        <v>1</v>
      </c>
      <c r="L145" s="206">
        <f t="shared" si="5"/>
        <v>100000</v>
      </c>
      <c r="M145" s="207">
        <f t="shared" si="6"/>
        <v>2.8225465014536116E-5</v>
      </c>
      <c r="N145" s="38" t="s">
        <v>372</v>
      </c>
    </row>
    <row r="146" spans="2:14" ht="14.85" customHeight="1">
      <c r="B146" s="424"/>
      <c r="C146" s="424"/>
      <c r="D146" s="374" t="s">
        <v>516</v>
      </c>
      <c r="E146" s="374" t="s">
        <v>555</v>
      </c>
      <c r="F146" s="374">
        <v>164</v>
      </c>
      <c r="G146" s="374">
        <v>164</v>
      </c>
      <c r="H146" s="374" t="s">
        <v>372</v>
      </c>
      <c r="I146" s="247">
        <f t="shared" si="4"/>
        <v>1</v>
      </c>
      <c r="J146" s="374">
        <v>1</v>
      </c>
      <c r="K146" s="248">
        <f t="shared" si="7"/>
        <v>1</v>
      </c>
      <c r="L146" s="206">
        <f t="shared" si="5"/>
        <v>100000</v>
      </c>
      <c r="M146" s="207">
        <f t="shared" si="6"/>
        <v>2.8225465014536116E-5</v>
      </c>
      <c r="N146" s="38" t="s">
        <v>372</v>
      </c>
    </row>
    <row r="147" spans="2:14" ht="14.85" customHeight="1">
      <c r="B147" s="424"/>
      <c r="C147" s="424"/>
      <c r="D147" s="374" t="s">
        <v>516</v>
      </c>
      <c r="E147" s="374" t="s">
        <v>556</v>
      </c>
      <c r="F147" s="374">
        <v>165</v>
      </c>
      <c r="G147" s="374">
        <v>174</v>
      </c>
      <c r="H147" s="374" t="s">
        <v>372</v>
      </c>
      <c r="I147" s="247">
        <f t="shared" si="4"/>
        <v>10</v>
      </c>
      <c r="J147" s="374">
        <v>10</v>
      </c>
      <c r="K147" s="248">
        <f t="shared" si="7"/>
        <v>10</v>
      </c>
      <c r="L147" s="206">
        <f t="shared" si="5"/>
        <v>1000000</v>
      </c>
      <c r="M147" s="207">
        <f t="shared" si="6"/>
        <v>2.8225465014536117E-4</v>
      </c>
      <c r="N147" s="38" t="s">
        <v>372</v>
      </c>
    </row>
    <row r="148" spans="2:14" ht="14.85" customHeight="1">
      <c r="B148" s="424"/>
      <c r="C148" s="424"/>
      <c r="D148" s="374" t="s">
        <v>516</v>
      </c>
      <c r="E148" s="374" t="s">
        <v>557</v>
      </c>
      <c r="F148" s="374">
        <v>175</v>
      </c>
      <c r="G148" s="374">
        <v>179</v>
      </c>
      <c r="H148" s="374" t="s">
        <v>372</v>
      </c>
      <c r="I148" s="247">
        <f t="shared" si="4"/>
        <v>5</v>
      </c>
      <c r="J148" s="374">
        <v>5</v>
      </c>
      <c r="K148" s="248">
        <f t="shared" si="7"/>
        <v>5</v>
      </c>
      <c r="L148" s="206">
        <f t="shared" si="5"/>
        <v>500000</v>
      </c>
      <c r="M148" s="207">
        <f t="shared" si="6"/>
        <v>1.4112732507268059E-4</v>
      </c>
      <c r="N148" s="38" t="s">
        <v>372</v>
      </c>
    </row>
    <row r="149" spans="2:14" ht="14.85" customHeight="1">
      <c r="B149" s="424"/>
      <c r="C149" s="424"/>
      <c r="D149" s="374" t="s">
        <v>516</v>
      </c>
      <c r="E149" s="374" t="s">
        <v>558</v>
      </c>
      <c r="F149" s="374">
        <v>180</v>
      </c>
      <c r="G149" s="374">
        <v>180</v>
      </c>
      <c r="H149" s="374" t="s">
        <v>372</v>
      </c>
      <c r="I149" s="247">
        <f t="shared" si="4"/>
        <v>1</v>
      </c>
      <c r="J149" s="374">
        <v>1</v>
      </c>
      <c r="K149" s="248">
        <f t="shared" si="7"/>
        <v>1</v>
      </c>
      <c r="L149" s="206">
        <f t="shared" si="5"/>
        <v>100000</v>
      </c>
      <c r="M149" s="207">
        <f t="shared" si="6"/>
        <v>2.8225465014536116E-5</v>
      </c>
      <c r="N149" s="38" t="s">
        <v>372</v>
      </c>
    </row>
    <row r="150" spans="2:14" ht="14.85" customHeight="1">
      <c r="B150" s="424"/>
      <c r="C150" s="424"/>
      <c r="D150" s="374" t="s">
        <v>516</v>
      </c>
      <c r="E150" s="374" t="s">
        <v>559</v>
      </c>
      <c r="F150" s="374">
        <v>181</v>
      </c>
      <c r="G150" s="374">
        <v>181</v>
      </c>
      <c r="H150" s="374" t="s">
        <v>372</v>
      </c>
      <c r="I150" s="247">
        <f t="shared" si="4"/>
        <v>1</v>
      </c>
      <c r="J150" s="374">
        <v>1</v>
      </c>
      <c r="K150" s="248">
        <f t="shared" si="7"/>
        <v>1</v>
      </c>
      <c r="L150" s="206">
        <f t="shared" si="5"/>
        <v>100000</v>
      </c>
      <c r="M150" s="207">
        <f t="shared" si="6"/>
        <v>2.8225465014536116E-5</v>
      </c>
      <c r="N150" s="38" t="s">
        <v>372</v>
      </c>
    </row>
    <row r="151" spans="2:14" ht="14.85" customHeight="1">
      <c r="B151" s="424"/>
      <c r="C151" s="424"/>
      <c r="D151" s="374" t="s">
        <v>516</v>
      </c>
      <c r="E151" s="374" t="s">
        <v>560</v>
      </c>
      <c r="F151" s="374">
        <v>182</v>
      </c>
      <c r="G151" s="374">
        <v>191</v>
      </c>
      <c r="H151" s="374" t="s">
        <v>372</v>
      </c>
      <c r="I151" s="247">
        <f t="shared" si="4"/>
        <v>10</v>
      </c>
      <c r="J151" s="374">
        <v>10</v>
      </c>
      <c r="K151" s="248">
        <f t="shared" si="7"/>
        <v>10</v>
      </c>
      <c r="L151" s="206">
        <f t="shared" si="5"/>
        <v>1000000</v>
      </c>
      <c r="M151" s="207">
        <f t="shared" si="6"/>
        <v>2.8225465014536117E-4</v>
      </c>
      <c r="N151" s="38" t="s">
        <v>372</v>
      </c>
    </row>
    <row r="152" spans="2:14" ht="14.85" customHeight="1">
      <c r="B152" s="424"/>
      <c r="C152" s="424"/>
      <c r="D152" s="374" t="s">
        <v>512</v>
      </c>
      <c r="E152" s="374" t="s">
        <v>561</v>
      </c>
      <c r="F152" s="374">
        <v>77</v>
      </c>
      <c r="G152" s="374">
        <v>216</v>
      </c>
      <c r="H152" s="374" t="s">
        <v>372</v>
      </c>
      <c r="I152" s="247">
        <f t="shared" si="4"/>
        <v>140</v>
      </c>
      <c r="J152" s="374">
        <v>140</v>
      </c>
      <c r="K152" s="248">
        <f t="shared" si="7"/>
        <v>140</v>
      </c>
      <c r="L152" s="206">
        <f t="shared" si="5"/>
        <v>14000000</v>
      </c>
      <c r="M152" s="207">
        <f t="shared" si="6"/>
        <v>3.9515651020350564E-3</v>
      </c>
      <c r="N152" s="38" t="s">
        <v>372</v>
      </c>
    </row>
    <row r="153" spans="2:14" ht="14.85" customHeight="1">
      <c r="B153" s="424"/>
      <c r="C153" s="424"/>
      <c r="D153" s="374" t="s">
        <v>562</v>
      </c>
      <c r="E153" s="374" t="s">
        <v>563</v>
      </c>
      <c r="F153" s="374">
        <v>78</v>
      </c>
      <c r="G153" s="374">
        <v>217</v>
      </c>
      <c r="H153" s="374" t="s">
        <v>372</v>
      </c>
      <c r="I153" s="247">
        <f t="shared" si="4"/>
        <v>140</v>
      </c>
      <c r="J153" s="374">
        <v>140</v>
      </c>
      <c r="K153" s="248">
        <f t="shared" si="7"/>
        <v>140</v>
      </c>
      <c r="L153" s="206">
        <f t="shared" si="5"/>
        <v>14000000</v>
      </c>
      <c r="M153" s="207">
        <f t="shared" si="6"/>
        <v>3.9515651020350564E-3</v>
      </c>
      <c r="N153" s="38" t="s">
        <v>372</v>
      </c>
    </row>
    <row r="154" spans="2:14" ht="14.85" customHeight="1">
      <c r="B154" s="424"/>
      <c r="C154" s="424"/>
      <c r="D154" s="374" t="s">
        <v>564</v>
      </c>
      <c r="E154" s="374" t="s">
        <v>565</v>
      </c>
      <c r="F154" s="374">
        <v>55</v>
      </c>
      <c r="G154" s="374">
        <v>56</v>
      </c>
      <c r="H154" s="374" t="s">
        <v>372</v>
      </c>
      <c r="I154" s="247">
        <f t="shared" si="4"/>
        <v>2</v>
      </c>
      <c r="J154" s="374">
        <v>2</v>
      </c>
      <c r="K154" s="248">
        <f t="shared" si="7"/>
        <v>2</v>
      </c>
      <c r="L154" s="206">
        <f t="shared" si="5"/>
        <v>200000</v>
      </c>
      <c r="M154" s="207">
        <f t="shared" si="6"/>
        <v>5.6450930029072231E-5</v>
      </c>
      <c r="N154" s="38" t="s">
        <v>372</v>
      </c>
    </row>
    <row r="155" spans="2:14" ht="14.85" customHeight="1">
      <c r="B155" s="424"/>
      <c r="C155" s="424"/>
      <c r="D155" s="374" t="s">
        <v>566</v>
      </c>
      <c r="E155" s="374" t="s">
        <v>567</v>
      </c>
      <c r="F155" s="374">
        <v>202</v>
      </c>
      <c r="G155" s="374">
        <v>300</v>
      </c>
      <c r="H155" s="374" t="s">
        <v>372</v>
      </c>
      <c r="I155" s="247">
        <f t="shared" si="4"/>
        <v>99</v>
      </c>
      <c r="J155" s="374">
        <v>99</v>
      </c>
      <c r="K155" s="248">
        <f t="shared" si="7"/>
        <v>99</v>
      </c>
      <c r="L155" s="206">
        <f t="shared" si="5"/>
        <v>9900000</v>
      </c>
      <c r="M155" s="207">
        <f t="shared" si="6"/>
        <v>2.7943210364390755E-3</v>
      </c>
      <c r="N155" s="38" t="s">
        <v>372</v>
      </c>
    </row>
    <row r="156" spans="2:14">
      <c r="B156" s="424"/>
      <c r="C156" s="424"/>
      <c r="D156" s="374" t="s">
        <v>568</v>
      </c>
      <c r="E156" s="374" t="s">
        <v>569</v>
      </c>
      <c r="F156" s="374">
        <v>1</v>
      </c>
      <c r="G156" s="374">
        <v>21</v>
      </c>
      <c r="H156" s="374" t="s">
        <v>372</v>
      </c>
      <c r="I156" s="247">
        <f t="shared" si="4"/>
        <v>21</v>
      </c>
      <c r="J156" s="374">
        <v>21</v>
      </c>
      <c r="K156" s="248">
        <f t="shared" si="7"/>
        <v>21</v>
      </c>
      <c r="L156" s="206">
        <f t="shared" si="5"/>
        <v>2100000</v>
      </c>
      <c r="M156" s="207">
        <f t="shared" si="6"/>
        <v>5.9273476530525844E-4</v>
      </c>
      <c r="N156" s="38" t="s">
        <v>372</v>
      </c>
    </row>
    <row r="157" spans="2:14">
      <c r="B157" s="424"/>
      <c r="C157" s="424"/>
      <c r="D157" s="374" t="s">
        <v>570</v>
      </c>
      <c r="E157" s="374" t="s">
        <v>509</v>
      </c>
      <c r="F157" s="374">
        <v>7</v>
      </c>
      <c r="G157" s="374">
        <v>172</v>
      </c>
      <c r="H157" s="374" t="s">
        <v>372</v>
      </c>
      <c r="I157" s="247">
        <f t="shared" si="4"/>
        <v>166</v>
      </c>
      <c r="J157" s="374">
        <v>166</v>
      </c>
      <c r="K157" s="248">
        <f t="shared" si="7"/>
        <v>166</v>
      </c>
      <c r="L157" s="206">
        <f t="shared" si="5"/>
        <v>16600000</v>
      </c>
      <c r="M157" s="207">
        <f t="shared" si="6"/>
        <v>4.6854271924129951E-3</v>
      </c>
      <c r="N157" s="38" t="s">
        <v>372</v>
      </c>
    </row>
    <row r="158" spans="2:14">
      <c r="B158" s="424">
        <v>8</v>
      </c>
      <c r="C158" s="424" t="s">
        <v>571</v>
      </c>
      <c r="D158" s="374" t="s">
        <v>515</v>
      </c>
      <c r="E158" s="374">
        <v>57</v>
      </c>
      <c r="F158" s="374">
        <v>171</v>
      </c>
      <c r="G158" s="374">
        <v>180</v>
      </c>
      <c r="H158" s="374" t="s">
        <v>372</v>
      </c>
      <c r="I158" s="247">
        <f t="shared" si="4"/>
        <v>10</v>
      </c>
      <c r="J158" s="374">
        <v>10</v>
      </c>
      <c r="K158" s="248">
        <f t="shared" si="7"/>
        <v>10</v>
      </c>
      <c r="L158" s="206">
        <f t="shared" si="5"/>
        <v>1000000</v>
      </c>
      <c r="M158" s="207">
        <f t="shared" si="6"/>
        <v>2.8225465014536117E-4</v>
      </c>
      <c r="N158" s="38" t="s">
        <v>372</v>
      </c>
    </row>
    <row r="159" spans="2:14">
      <c r="B159" s="424"/>
      <c r="C159" s="424"/>
      <c r="D159" s="374" t="s">
        <v>515</v>
      </c>
      <c r="E159" s="374">
        <v>58</v>
      </c>
      <c r="F159" s="374">
        <v>181</v>
      </c>
      <c r="G159" s="374">
        <v>190</v>
      </c>
      <c r="H159" s="374" t="s">
        <v>372</v>
      </c>
      <c r="I159" s="247">
        <f t="shared" si="4"/>
        <v>10</v>
      </c>
      <c r="J159" s="374">
        <v>10</v>
      </c>
      <c r="K159" s="248">
        <f t="shared" si="7"/>
        <v>10</v>
      </c>
      <c r="L159" s="206">
        <f t="shared" si="5"/>
        <v>1000000</v>
      </c>
      <c r="M159" s="207">
        <f t="shared" si="6"/>
        <v>2.8225465014536117E-4</v>
      </c>
      <c r="N159" s="38" t="s">
        <v>372</v>
      </c>
    </row>
    <row r="160" spans="2:14">
      <c r="B160" s="424"/>
      <c r="C160" s="424"/>
      <c r="D160" s="374" t="s">
        <v>515</v>
      </c>
      <c r="E160" s="374">
        <v>59</v>
      </c>
      <c r="F160" s="374">
        <v>191</v>
      </c>
      <c r="G160" s="374">
        <v>200</v>
      </c>
      <c r="H160" s="374" t="s">
        <v>372</v>
      </c>
      <c r="I160" s="247">
        <f t="shared" si="4"/>
        <v>10</v>
      </c>
      <c r="J160" s="374">
        <v>10</v>
      </c>
      <c r="K160" s="248">
        <f t="shared" si="7"/>
        <v>10</v>
      </c>
      <c r="L160" s="206">
        <f t="shared" si="5"/>
        <v>1000000</v>
      </c>
      <c r="M160" s="207">
        <f t="shared" si="6"/>
        <v>2.8225465014536117E-4</v>
      </c>
      <c r="N160" s="38" t="s">
        <v>372</v>
      </c>
    </row>
    <row r="161" spans="2:14">
      <c r="B161" s="424"/>
      <c r="C161" s="424"/>
      <c r="D161" s="374" t="s">
        <v>512</v>
      </c>
      <c r="E161" s="374">
        <v>126</v>
      </c>
      <c r="F161" s="374">
        <v>217</v>
      </c>
      <c r="G161" s="374">
        <v>245</v>
      </c>
      <c r="H161" s="374" t="s">
        <v>372</v>
      </c>
      <c r="I161" s="247">
        <f t="shared" si="4"/>
        <v>29</v>
      </c>
      <c r="J161" s="374">
        <v>29</v>
      </c>
      <c r="K161" s="248">
        <f t="shared" si="7"/>
        <v>29</v>
      </c>
      <c r="L161" s="206">
        <f t="shared" si="5"/>
        <v>2900000</v>
      </c>
      <c r="M161" s="207">
        <f t="shared" si="6"/>
        <v>8.1853848542154731E-4</v>
      </c>
      <c r="N161" s="38" t="s">
        <v>372</v>
      </c>
    </row>
    <row r="162" spans="2:14">
      <c r="B162" s="424"/>
      <c r="C162" s="424"/>
      <c r="D162" s="374" t="s">
        <v>562</v>
      </c>
      <c r="E162" s="374">
        <v>149</v>
      </c>
      <c r="F162" s="374">
        <v>265</v>
      </c>
      <c r="G162" s="374">
        <v>293</v>
      </c>
      <c r="H162" s="374" t="s">
        <v>372</v>
      </c>
      <c r="I162" s="247">
        <f t="shared" si="4"/>
        <v>29</v>
      </c>
      <c r="J162" s="374">
        <v>29</v>
      </c>
      <c r="K162" s="248">
        <f t="shared" si="7"/>
        <v>29</v>
      </c>
      <c r="L162" s="206">
        <f t="shared" si="5"/>
        <v>2900000</v>
      </c>
      <c r="M162" s="207">
        <f t="shared" si="6"/>
        <v>8.1853848542154731E-4</v>
      </c>
      <c r="N162" s="38" t="s">
        <v>372</v>
      </c>
    </row>
    <row r="163" spans="2:14">
      <c r="B163" s="424"/>
      <c r="C163" s="424"/>
      <c r="D163" s="374" t="s">
        <v>572</v>
      </c>
      <c r="E163" s="374">
        <v>4</v>
      </c>
      <c r="F163" s="374">
        <v>26</v>
      </c>
      <c r="G163" s="374">
        <v>60</v>
      </c>
      <c r="H163" s="374" t="s">
        <v>372</v>
      </c>
      <c r="I163" s="247">
        <f t="shared" si="4"/>
        <v>35</v>
      </c>
      <c r="J163" s="374">
        <v>35</v>
      </c>
      <c r="K163" s="248">
        <f t="shared" si="7"/>
        <v>35</v>
      </c>
      <c r="L163" s="206">
        <f t="shared" si="5"/>
        <v>3500000</v>
      </c>
      <c r="M163" s="207">
        <f t="shared" si="6"/>
        <v>9.878912755087641E-4</v>
      </c>
      <c r="N163" s="38" t="s">
        <v>372</v>
      </c>
    </row>
    <row r="164" spans="2:14">
      <c r="B164" s="424">
        <v>9</v>
      </c>
      <c r="C164" s="424" t="s">
        <v>573</v>
      </c>
      <c r="D164" s="374" t="s">
        <v>508</v>
      </c>
      <c r="E164" s="374">
        <v>26</v>
      </c>
      <c r="F164" s="374">
        <v>101</v>
      </c>
      <c r="G164" s="374">
        <v>150</v>
      </c>
      <c r="H164" s="374" t="s">
        <v>372</v>
      </c>
      <c r="I164" s="247">
        <f t="shared" si="4"/>
        <v>50</v>
      </c>
      <c r="J164" s="374">
        <v>50</v>
      </c>
      <c r="K164" s="248">
        <f t="shared" si="7"/>
        <v>50</v>
      </c>
      <c r="L164" s="206">
        <f t="shared" si="5"/>
        <v>5000000</v>
      </c>
      <c r="M164" s="207">
        <f t="shared" si="6"/>
        <v>1.4112732507268056E-3</v>
      </c>
      <c r="N164" s="38" t="s">
        <v>372</v>
      </c>
    </row>
    <row r="165" spans="2:14">
      <c r="B165" s="424"/>
      <c r="C165" s="424"/>
      <c r="D165" s="374" t="s">
        <v>515</v>
      </c>
      <c r="E165" s="374">
        <v>49</v>
      </c>
      <c r="F165" s="374">
        <v>1</v>
      </c>
      <c r="G165" s="374">
        <v>100</v>
      </c>
      <c r="H165" s="374" t="s">
        <v>372</v>
      </c>
      <c r="I165" s="247">
        <f t="shared" si="4"/>
        <v>100</v>
      </c>
      <c r="J165" s="374">
        <v>100</v>
      </c>
      <c r="K165" s="248">
        <f t="shared" si="7"/>
        <v>100</v>
      </c>
      <c r="L165" s="206">
        <f t="shared" si="5"/>
        <v>10000000</v>
      </c>
      <c r="M165" s="207">
        <f t="shared" si="6"/>
        <v>2.8225465014536113E-3</v>
      </c>
      <c r="N165" s="38" t="s">
        <v>372</v>
      </c>
    </row>
    <row r="166" spans="2:14">
      <c r="B166" s="424"/>
      <c r="C166" s="424"/>
      <c r="D166" s="374" t="s">
        <v>512</v>
      </c>
      <c r="E166" s="374">
        <v>127</v>
      </c>
      <c r="F166" s="374">
        <v>245</v>
      </c>
      <c r="G166" s="374">
        <v>300</v>
      </c>
      <c r="H166" s="374" t="s">
        <v>372</v>
      </c>
      <c r="I166" s="247">
        <f t="shared" si="4"/>
        <v>56</v>
      </c>
      <c r="J166" s="374">
        <v>56</v>
      </c>
      <c r="K166" s="248">
        <f t="shared" si="7"/>
        <v>56</v>
      </c>
      <c r="L166" s="206">
        <f t="shared" si="5"/>
        <v>5600000</v>
      </c>
      <c r="M166" s="207">
        <f t="shared" si="6"/>
        <v>1.5806260408140224E-3</v>
      </c>
      <c r="N166" s="38" t="s">
        <v>372</v>
      </c>
    </row>
    <row r="167" spans="2:14">
      <c r="B167" s="424"/>
      <c r="C167" s="424"/>
      <c r="D167" s="374" t="s">
        <v>517</v>
      </c>
      <c r="E167" s="374">
        <v>128</v>
      </c>
      <c r="F167" s="374">
        <v>1</v>
      </c>
      <c r="G167" s="374">
        <v>91</v>
      </c>
      <c r="H167" s="374" t="s">
        <v>372</v>
      </c>
      <c r="I167" s="247">
        <f t="shared" si="4"/>
        <v>91</v>
      </c>
      <c r="J167" s="374">
        <v>91</v>
      </c>
      <c r="K167" s="248">
        <f t="shared" si="7"/>
        <v>91</v>
      </c>
      <c r="L167" s="206">
        <f t="shared" si="5"/>
        <v>9100000</v>
      </c>
      <c r="M167" s="207">
        <f t="shared" si="6"/>
        <v>2.5685173163227863E-3</v>
      </c>
      <c r="N167" s="38" t="s">
        <v>372</v>
      </c>
    </row>
    <row r="168" spans="2:14">
      <c r="B168" s="424"/>
      <c r="C168" s="424"/>
      <c r="D168" s="374" t="s">
        <v>562</v>
      </c>
      <c r="E168" s="374">
        <v>150</v>
      </c>
      <c r="F168" s="374">
        <v>217</v>
      </c>
      <c r="G168" s="374">
        <v>300</v>
      </c>
      <c r="H168" s="374" t="s">
        <v>372</v>
      </c>
      <c r="I168" s="247">
        <f t="shared" si="4"/>
        <v>84</v>
      </c>
      <c r="J168" s="374">
        <v>84</v>
      </c>
      <c r="K168" s="248">
        <f t="shared" si="7"/>
        <v>84</v>
      </c>
      <c r="L168" s="206">
        <f t="shared" si="5"/>
        <v>8400000</v>
      </c>
      <c r="M168" s="207">
        <f t="shared" si="6"/>
        <v>2.3709390612210337E-3</v>
      </c>
      <c r="N168" s="38" t="s">
        <v>372</v>
      </c>
    </row>
    <row r="169" spans="2:14">
      <c r="B169" s="424"/>
      <c r="C169" s="424"/>
      <c r="D169" s="374" t="s">
        <v>574</v>
      </c>
      <c r="E169" s="374">
        <v>151</v>
      </c>
      <c r="F169" s="374">
        <v>1</v>
      </c>
      <c r="G169" s="374">
        <v>63</v>
      </c>
      <c r="H169" s="374" t="s">
        <v>372</v>
      </c>
      <c r="I169" s="247">
        <f t="shared" si="4"/>
        <v>63</v>
      </c>
      <c r="J169" s="374">
        <v>63</v>
      </c>
      <c r="K169" s="248">
        <f t="shared" si="7"/>
        <v>63</v>
      </c>
      <c r="L169" s="206">
        <f t="shared" si="5"/>
        <v>6300000</v>
      </c>
      <c r="M169" s="207">
        <f t="shared" si="6"/>
        <v>1.7782042959157752E-3</v>
      </c>
      <c r="N169" s="38" t="s">
        <v>372</v>
      </c>
    </row>
    <row r="170" spans="2:14">
      <c r="B170" s="424"/>
      <c r="C170" s="424"/>
      <c r="D170" s="374" t="s">
        <v>575</v>
      </c>
      <c r="E170" s="374">
        <v>9</v>
      </c>
      <c r="F170" s="374">
        <v>139</v>
      </c>
      <c r="G170" s="374">
        <v>200</v>
      </c>
      <c r="H170" s="374" t="s">
        <v>372</v>
      </c>
      <c r="I170" s="247">
        <f t="shared" si="4"/>
        <v>62</v>
      </c>
      <c r="J170" s="374">
        <v>62</v>
      </c>
      <c r="K170" s="248">
        <f t="shared" si="7"/>
        <v>62</v>
      </c>
      <c r="L170" s="206">
        <f t="shared" si="5"/>
        <v>6200000</v>
      </c>
      <c r="M170" s="207">
        <f t="shared" si="6"/>
        <v>1.749978830901239E-3</v>
      </c>
      <c r="N170" s="38" t="s">
        <v>372</v>
      </c>
    </row>
    <row r="171" spans="2:14">
      <c r="B171" s="424"/>
      <c r="C171" s="424"/>
      <c r="D171" s="374" t="s">
        <v>576</v>
      </c>
      <c r="E171" s="374">
        <v>10</v>
      </c>
      <c r="F171" s="374">
        <v>1</v>
      </c>
      <c r="G171" s="374">
        <v>112</v>
      </c>
      <c r="H171" s="374" t="s">
        <v>372</v>
      </c>
      <c r="I171" s="247">
        <f t="shared" si="4"/>
        <v>112</v>
      </c>
      <c r="J171" s="374">
        <v>112</v>
      </c>
      <c r="K171" s="248">
        <f t="shared" si="7"/>
        <v>112</v>
      </c>
      <c r="L171" s="206">
        <f t="shared" si="5"/>
        <v>11200000</v>
      </c>
      <c r="M171" s="207">
        <f t="shared" si="6"/>
        <v>3.1612520816280448E-3</v>
      </c>
      <c r="N171" s="38" t="s">
        <v>372</v>
      </c>
    </row>
    <row r="172" spans="2:14">
      <c r="B172" s="424">
        <v>10</v>
      </c>
      <c r="C172" s="424" t="s">
        <v>577</v>
      </c>
      <c r="D172" s="374" t="s">
        <v>483</v>
      </c>
      <c r="E172" s="374">
        <v>22</v>
      </c>
      <c r="F172" s="374">
        <v>198</v>
      </c>
      <c r="G172" s="374">
        <v>198</v>
      </c>
      <c r="H172" s="374" t="s">
        <v>372</v>
      </c>
      <c r="I172" s="247">
        <f t="shared" si="4"/>
        <v>1</v>
      </c>
      <c r="J172" s="374">
        <v>1</v>
      </c>
      <c r="K172" s="248">
        <f t="shared" si="7"/>
        <v>1</v>
      </c>
      <c r="L172" s="206">
        <f t="shared" si="5"/>
        <v>100000</v>
      </c>
      <c r="M172" s="207">
        <f t="shared" si="6"/>
        <v>2.8225465014536116E-5</v>
      </c>
      <c r="N172" s="38" t="s">
        <v>372</v>
      </c>
    </row>
    <row r="173" spans="2:14">
      <c r="B173" s="424"/>
      <c r="C173" s="424"/>
      <c r="D173" s="374" t="s">
        <v>483</v>
      </c>
      <c r="E173" s="374">
        <v>23</v>
      </c>
      <c r="F173" s="374">
        <v>199</v>
      </c>
      <c r="G173" s="374">
        <v>199</v>
      </c>
      <c r="H173" s="374" t="s">
        <v>372</v>
      </c>
      <c r="I173" s="247">
        <f t="shared" si="4"/>
        <v>1</v>
      </c>
      <c r="J173" s="374">
        <v>1</v>
      </c>
      <c r="K173" s="248">
        <f t="shared" si="7"/>
        <v>1</v>
      </c>
      <c r="L173" s="206">
        <f t="shared" si="5"/>
        <v>100000</v>
      </c>
      <c r="M173" s="207">
        <f t="shared" si="6"/>
        <v>2.8225465014536116E-5</v>
      </c>
      <c r="N173" s="38" t="s">
        <v>372</v>
      </c>
    </row>
    <row r="174" spans="2:14">
      <c r="B174" s="424"/>
      <c r="C174" s="424"/>
      <c r="D174" s="374" t="s">
        <v>504</v>
      </c>
      <c r="E174" s="374">
        <v>78</v>
      </c>
      <c r="F174" s="374">
        <v>1</v>
      </c>
      <c r="G174" s="374">
        <v>1</v>
      </c>
      <c r="H174" s="374" t="s">
        <v>372</v>
      </c>
      <c r="I174" s="247">
        <f t="shared" si="4"/>
        <v>1</v>
      </c>
      <c r="J174" s="374">
        <v>1</v>
      </c>
      <c r="K174" s="248">
        <f t="shared" si="7"/>
        <v>1</v>
      </c>
      <c r="L174" s="206">
        <f t="shared" si="5"/>
        <v>100000</v>
      </c>
      <c r="M174" s="207">
        <f t="shared" si="6"/>
        <v>2.8225465014536116E-5</v>
      </c>
      <c r="N174" s="38" t="s">
        <v>372</v>
      </c>
    </row>
    <row r="175" spans="2:14">
      <c r="B175" s="424"/>
      <c r="C175" s="424"/>
      <c r="D175" s="374" t="s">
        <v>516</v>
      </c>
      <c r="E175" s="374">
        <v>78</v>
      </c>
      <c r="F175" s="374">
        <v>192</v>
      </c>
      <c r="G175" s="374">
        <v>200</v>
      </c>
      <c r="H175" s="374" t="s">
        <v>372</v>
      </c>
      <c r="I175" s="247">
        <f t="shared" si="4"/>
        <v>9</v>
      </c>
      <c r="J175" s="374">
        <v>9</v>
      </c>
      <c r="K175" s="248">
        <f t="shared" si="7"/>
        <v>9</v>
      </c>
      <c r="L175" s="206">
        <f t="shared" si="5"/>
        <v>900000</v>
      </c>
      <c r="M175" s="207">
        <f t="shared" si="6"/>
        <v>2.5402918513082502E-4</v>
      </c>
      <c r="N175" s="38" t="s">
        <v>372</v>
      </c>
    </row>
    <row r="176" spans="2:14">
      <c r="B176" s="424"/>
      <c r="C176" s="424"/>
      <c r="D176" s="374" t="s">
        <v>504</v>
      </c>
      <c r="E176" s="374">
        <v>79</v>
      </c>
      <c r="F176" s="374">
        <v>2</v>
      </c>
      <c r="G176" s="374">
        <v>11</v>
      </c>
      <c r="H176" s="374" t="s">
        <v>372</v>
      </c>
      <c r="I176" s="247">
        <f t="shared" si="4"/>
        <v>10</v>
      </c>
      <c r="J176" s="374">
        <v>10</v>
      </c>
      <c r="K176" s="248">
        <f t="shared" si="7"/>
        <v>10</v>
      </c>
      <c r="L176" s="206">
        <f t="shared" si="5"/>
        <v>1000000</v>
      </c>
      <c r="M176" s="207">
        <f t="shared" si="6"/>
        <v>2.8225465014536117E-4</v>
      </c>
      <c r="N176" s="38" t="s">
        <v>372</v>
      </c>
    </row>
    <row r="177" spans="2:14">
      <c r="B177" s="424"/>
      <c r="C177" s="424"/>
      <c r="D177" s="374" t="s">
        <v>504</v>
      </c>
      <c r="E177" s="374">
        <v>80</v>
      </c>
      <c r="F177" s="374">
        <v>12</v>
      </c>
      <c r="G177" s="374">
        <v>21</v>
      </c>
      <c r="H177" s="374" t="s">
        <v>372</v>
      </c>
      <c r="I177" s="247">
        <f t="shared" si="4"/>
        <v>10</v>
      </c>
      <c r="J177" s="374">
        <v>10</v>
      </c>
      <c r="K177" s="248">
        <f t="shared" si="7"/>
        <v>10</v>
      </c>
      <c r="L177" s="206">
        <f t="shared" si="5"/>
        <v>1000000</v>
      </c>
      <c r="M177" s="207">
        <f t="shared" si="6"/>
        <v>2.8225465014536117E-4</v>
      </c>
      <c r="N177" s="38" t="s">
        <v>372</v>
      </c>
    </row>
    <row r="178" spans="2:14">
      <c r="B178" s="424"/>
      <c r="C178" s="424"/>
      <c r="D178" s="374" t="s">
        <v>504</v>
      </c>
      <c r="E178" s="374">
        <v>81</v>
      </c>
      <c r="F178" s="374">
        <v>22</v>
      </c>
      <c r="G178" s="374">
        <v>71</v>
      </c>
      <c r="H178" s="374" t="s">
        <v>372</v>
      </c>
      <c r="I178" s="247">
        <f t="shared" si="4"/>
        <v>50</v>
      </c>
      <c r="J178" s="374">
        <v>50</v>
      </c>
      <c r="K178" s="248">
        <f t="shared" si="7"/>
        <v>50</v>
      </c>
      <c r="L178" s="206">
        <f t="shared" si="5"/>
        <v>5000000</v>
      </c>
      <c r="M178" s="207">
        <f t="shared" si="6"/>
        <v>1.4112732507268056E-3</v>
      </c>
      <c r="N178" s="38" t="s">
        <v>372</v>
      </c>
    </row>
    <row r="179" spans="2:14">
      <c r="B179" s="424"/>
      <c r="C179" s="424"/>
      <c r="D179" s="374" t="s">
        <v>504</v>
      </c>
      <c r="E179" s="374">
        <v>82</v>
      </c>
      <c r="F179" s="374">
        <v>72</v>
      </c>
      <c r="G179" s="374">
        <v>72</v>
      </c>
      <c r="H179" s="374" t="s">
        <v>372</v>
      </c>
      <c r="I179" s="247">
        <f t="shared" si="4"/>
        <v>1</v>
      </c>
      <c r="J179" s="374">
        <v>1</v>
      </c>
      <c r="K179" s="248">
        <f t="shared" si="7"/>
        <v>1</v>
      </c>
      <c r="L179" s="206">
        <f t="shared" si="5"/>
        <v>100000</v>
      </c>
      <c r="M179" s="207">
        <f t="shared" si="6"/>
        <v>2.8225465014536116E-5</v>
      </c>
      <c r="N179" s="38" t="s">
        <v>372</v>
      </c>
    </row>
    <row r="180" spans="2:14">
      <c r="B180" s="424"/>
      <c r="C180" s="424"/>
      <c r="D180" s="374" t="s">
        <v>504</v>
      </c>
      <c r="E180" s="374">
        <v>83</v>
      </c>
      <c r="F180" s="374">
        <v>73</v>
      </c>
      <c r="G180" s="374">
        <v>82</v>
      </c>
      <c r="H180" s="374" t="s">
        <v>372</v>
      </c>
      <c r="I180" s="247">
        <f t="shared" si="4"/>
        <v>10</v>
      </c>
      <c r="J180" s="374">
        <v>10</v>
      </c>
      <c r="K180" s="248">
        <f t="shared" si="7"/>
        <v>10</v>
      </c>
      <c r="L180" s="206">
        <f t="shared" si="5"/>
        <v>1000000</v>
      </c>
      <c r="M180" s="207">
        <f t="shared" si="6"/>
        <v>2.8225465014536117E-4</v>
      </c>
      <c r="N180" s="38" t="s">
        <v>372</v>
      </c>
    </row>
    <row r="181" spans="2:14">
      <c r="B181" s="424"/>
      <c r="C181" s="424"/>
      <c r="D181" s="374" t="s">
        <v>504</v>
      </c>
      <c r="E181" s="374">
        <v>84</v>
      </c>
      <c r="F181" s="374">
        <v>83</v>
      </c>
      <c r="G181" s="374">
        <v>92</v>
      </c>
      <c r="H181" s="374" t="s">
        <v>372</v>
      </c>
      <c r="I181" s="247">
        <f t="shared" si="4"/>
        <v>10</v>
      </c>
      <c r="J181" s="374">
        <v>10</v>
      </c>
      <c r="K181" s="248">
        <f t="shared" si="7"/>
        <v>10</v>
      </c>
      <c r="L181" s="206">
        <f t="shared" si="5"/>
        <v>1000000</v>
      </c>
      <c r="M181" s="207">
        <f t="shared" si="6"/>
        <v>2.8225465014536117E-4</v>
      </c>
      <c r="N181" s="38" t="s">
        <v>372</v>
      </c>
    </row>
    <row r="182" spans="2:14">
      <c r="B182" s="424"/>
      <c r="C182" s="424"/>
      <c r="D182" s="374" t="s">
        <v>504</v>
      </c>
      <c r="E182" s="374">
        <v>85</v>
      </c>
      <c r="F182" s="374">
        <v>93</v>
      </c>
      <c r="G182" s="374">
        <v>102</v>
      </c>
      <c r="H182" s="374" t="s">
        <v>372</v>
      </c>
      <c r="I182" s="247">
        <f t="shared" si="4"/>
        <v>10</v>
      </c>
      <c r="J182" s="374">
        <v>10</v>
      </c>
      <c r="K182" s="248">
        <f t="shared" si="7"/>
        <v>10</v>
      </c>
      <c r="L182" s="206">
        <f t="shared" si="5"/>
        <v>1000000</v>
      </c>
      <c r="M182" s="207">
        <f t="shared" si="6"/>
        <v>2.8225465014536117E-4</v>
      </c>
      <c r="N182" s="38" t="s">
        <v>372</v>
      </c>
    </row>
    <row r="183" spans="2:14">
      <c r="B183" s="424"/>
      <c r="C183" s="424"/>
      <c r="D183" s="374" t="s">
        <v>504</v>
      </c>
      <c r="E183" s="374">
        <v>86</v>
      </c>
      <c r="F183" s="374">
        <v>103</v>
      </c>
      <c r="G183" s="374">
        <v>112</v>
      </c>
      <c r="H183" s="374" t="s">
        <v>372</v>
      </c>
      <c r="I183" s="247">
        <f t="shared" si="4"/>
        <v>10</v>
      </c>
      <c r="J183" s="374">
        <v>10</v>
      </c>
      <c r="K183" s="248">
        <f t="shared" si="7"/>
        <v>10</v>
      </c>
      <c r="L183" s="206">
        <f t="shared" si="5"/>
        <v>1000000</v>
      </c>
      <c r="M183" s="207">
        <f t="shared" si="6"/>
        <v>2.8225465014536117E-4</v>
      </c>
      <c r="N183" s="38" t="s">
        <v>372</v>
      </c>
    </row>
    <row r="184" spans="2:14">
      <c r="B184" s="424"/>
      <c r="C184" s="424"/>
      <c r="D184" s="374" t="s">
        <v>504</v>
      </c>
      <c r="E184" s="374">
        <v>87</v>
      </c>
      <c r="F184" s="374">
        <v>113</v>
      </c>
      <c r="G184" s="374">
        <v>122</v>
      </c>
      <c r="H184" s="374" t="s">
        <v>372</v>
      </c>
      <c r="I184" s="247">
        <f t="shared" si="4"/>
        <v>10</v>
      </c>
      <c r="J184" s="374">
        <v>10</v>
      </c>
      <c r="K184" s="248">
        <f t="shared" si="7"/>
        <v>10</v>
      </c>
      <c r="L184" s="206">
        <f t="shared" si="5"/>
        <v>1000000</v>
      </c>
      <c r="M184" s="207">
        <f t="shared" si="6"/>
        <v>2.8225465014536117E-4</v>
      </c>
      <c r="N184" s="38" t="s">
        <v>372</v>
      </c>
    </row>
    <row r="185" spans="2:14">
      <c r="B185" s="424"/>
      <c r="C185" s="424"/>
      <c r="D185" s="374" t="s">
        <v>504</v>
      </c>
      <c r="E185" s="374">
        <v>88</v>
      </c>
      <c r="F185" s="374">
        <v>123</v>
      </c>
      <c r="G185" s="374">
        <v>132</v>
      </c>
      <c r="H185" s="374" t="s">
        <v>372</v>
      </c>
      <c r="I185" s="247">
        <f t="shared" si="4"/>
        <v>10</v>
      </c>
      <c r="J185" s="374">
        <v>10</v>
      </c>
      <c r="K185" s="248">
        <f t="shared" si="7"/>
        <v>10</v>
      </c>
      <c r="L185" s="206">
        <f t="shared" si="5"/>
        <v>1000000</v>
      </c>
      <c r="M185" s="207">
        <f t="shared" si="6"/>
        <v>2.8225465014536117E-4</v>
      </c>
      <c r="N185" s="38" t="s">
        <v>372</v>
      </c>
    </row>
    <row r="186" spans="2:14">
      <c r="B186" s="424"/>
      <c r="C186" s="424"/>
      <c r="D186" s="374" t="s">
        <v>518</v>
      </c>
      <c r="E186" s="374">
        <v>129</v>
      </c>
      <c r="F186" s="374">
        <v>92</v>
      </c>
      <c r="G186" s="374">
        <v>231</v>
      </c>
      <c r="H186" s="374" t="s">
        <v>372</v>
      </c>
      <c r="I186" s="247">
        <f t="shared" si="4"/>
        <v>140</v>
      </c>
      <c r="J186" s="374">
        <v>140</v>
      </c>
      <c r="K186" s="248">
        <f t="shared" si="7"/>
        <v>140</v>
      </c>
      <c r="L186" s="206">
        <f t="shared" si="5"/>
        <v>14000000</v>
      </c>
      <c r="M186" s="207">
        <f t="shared" si="6"/>
        <v>3.9515651020350564E-3</v>
      </c>
      <c r="N186" s="38" t="s">
        <v>372</v>
      </c>
    </row>
    <row r="187" spans="2:14">
      <c r="B187" s="424"/>
      <c r="C187" s="424"/>
      <c r="D187" s="374" t="s">
        <v>574</v>
      </c>
      <c r="E187" s="374">
        <v>152</v>
      </c>
      <c r="F187" s="374">
        <v>64</v>
      </c>
      <c r="G187" s="374">
        <v>203</v>
      </c>
      <c r="H187" s="374" t="s">
        <v>372</v>
      </c>
      <c r="I187" s="247">
        <f t="shared" si="4"/>
        <v>140</v>
      </c>
      <c r="J187" s="374">
        <v>140</v>
      </c>
      <c r="K187" s="248">
        <f t="shared" si="7"/>
        <v>140</v>
      </c>
      <c r="L187" s="206">
        <f t="shared" si="5"/>
        <v>14000000</v>
      </c>
      <c r="M187" s="207">
        <f t="shared" si="6"/>
        <v>3.9515651020350564E-3</v>
      </c>
      <c r="N187" s="38" t="s">
        <v>372</v>
      </c>
    </row>
    <row r="188" spans="2:14">
      <c r="B188" s="424"/>
      <c r="C188" s="424"/>
      <c r="D188" s="374" t="s">
        <v>570</v>
      </c>
      <c r="E188" s="374">
        <v>8</v>
      </c>
      <c r="F188" s="374">
        <v>173</v>
      </c>
      <c r="G188" s="374">
        <v>200</v>
      </c>
      <c r="H188" s="374" t="s">
        <v>372</v>
      </c>
      <c r="I188" s="247">
        <f t="shared" si="4"/>
        <v>28</v>
      </c>
      <c r="J188" s="374">
        <v>28</v>
      </c>
      <c r="K188" s="248">
        <f t="shared" si="7"/>
        <v>28</v>
      </c>
      <c r="L188" s="206">
        <f t="shared" si="5"/>
        <v>2800000</v>
      </c>
      <c r="M188" s="207">
        <f t="shared" si="6"/>
        <v>7.9031302040701121E-4</v>
      </c>
      <c r="N188" s="38" t="s">
        <v>372</v>
      </c>
    </row>
    <row r="189" spans="2:14">
      <c r="B189" s="424"/>
      <c r="C189" s="424"/>
      <c r="D189" s="374" t="s">
        <v>575</v>
      </c>
      <c r="E189" s="374">
        <v>9</v>
      </c>
      <c r="F189" s="374">
        <v>1</v>
      </c>
      <c r="G189" s="374">
        <v>138</v>
      </c>
      <c r="H189" s="374" t="s">
        <v>372</v>
      </c>
      <c r="I189" s="247">
        <f t="shared" ref="I189:I197" si="8">IF(H189="Ordinaria",+J189,0)</f>
        <v>138</v>
      </c>
      <c r="J189" s="374">
        <v>138</v>
      </c>
      <c r="K189" s="248">
        <f t="shared" si="7"/>
        <v>138</v>
      </c>
      <c r="L189" s="206">
        <f t="shared" ref="L189:L222" si="9">J189*100000</f>
        <v>13800000</v>
      </c>
      <c r="M189" s="207">
        <f t="shared" ref="M189:M244" si="10">+L189/$L$245</f>
        <v>3.895114172005984E-3</v>
      </c>
      <c r="N189" s="38" t="s">
        <v>372</v>
      </c>
    </row>
    <row r="190" spans="2:14">
      <c r="B190" s="424">
        <v>11</v>
      </c>
      <c r="C190" s="424" t="s">
        <v>578</v>
      </c>
      <c r="D190" s="374" t="s">
        <v>486</v>
      </c>
      <c r="E190" s="374">
        <v>1</v>
      </c>
      <c r="F190" s="374">
        <v>1</v>
      </c>
      <c r="G190" s="374">
        <v>100</v>
      </c>
      <c r="H190" s="374" t="s">
        <v>372</v>
      </c>
      <c r="I190" s="247">
        <f t="shared" si="8"/>
        <v>100</v>
      </c>
      <c r="J190" s="374">
        <v>100</v>
      </c>
      <c r="K190" s="248">
        <f t="shared" ref="K190:K244" si="11">+I190</f>
        <v>100</v>
      </c>
      <c r="L190" s="206">
        <f t="shared" si="9"/>
        <v>10000000</v>
      </c>
      <c r="M190" s="207">
        <f t="shared" si="10"/>
        <v>2.8225465014536113E-3</v>
      </c>
      <c r="N190" s="38" t="s">
        <v>372</v>
      </c>
    </row>
    <row r="191" spans="2:14">
      <c r="B191" s="424"/>
      <c r="C191" s="424"/>
      <c r="D191" s="374" t="s">
        <v>483</v>
      </c>
      <c r="E191" s="374">
        <v>9</v>
      </c>
      <c r="F191" s="374">
        <v>1</v>
      </c>
      <c r="G191" s="374">
        <v>50</v>
      </c>
      <c r="H191" s="374" t="s">
        <v>372</v>
      </c>
      <c r="I191" s="247">
        <f t="shared" si="8"/>
        <v>50</v>
      </c>
      <c r="J191" s="374">
        <v>50</v>
      </c>
      <c r="K191" s="248">
        <f t="shared" si="11"/>
        <v>50</v>
      </c>
      <c r="L191" s="206">
        <f t="shared" si="9"/>
        <v>5000000</v>
      </c>
      <c r="M191" s="207">
        <f t="shared" si="10"/>
        <v>1.4112732507268056E-3</v>
      </c>
      <c r="N191" s="38" t="s">
        <v>372</v>
      </c>
    </row>
    <row r="192" spans="2:14">
      <c r="B192" s="424"/>
      <c r="C192" s="424"/>
      <c r="D192" s="374" t="s">
        <v>518</v>
      </c>
      <c r="E192" s="374">
        <v>130</v>
      </c>
      <c r="F192" s="374">
        <v>232</v>
      </c>
      <c r="G192" s="374">
        <v>300</v>
      </c>
      <c r="H192" s="374" t="s">
        <v>372</v>
      </c>
      <c r="I192" s="247">
        <f t="shared" si="8"/>
        <v>69</v>
      </c>
      <c r="J192" s="374">
        <v>69</v>
      </c>
      <c r="K192" s="248">
        <f t="shared" si="11"/>
        <v>69</v>
      </c>
      <c r="L192" s="206">
        <f t="shared" si="9"/>
        <v>6900000</v>
      </c>
      <c r="M192" s="207">
        <f t="shared" si="10"/>
        <v>1.947557086002992E-3</v>
      </c>
      <c r="N192" s="38" t="s">
        <v>372</v>
      </c>
    </row>
    <row r="193" spans="2:14">
      <c r="B193" s="424"/>
      <c r="C193" s="424"/>
      <c r="D193" s="374" t="s">
        <v>518</v>
      </c>
      <c r="E193" s="374">
        <v>131</v>
      </c>
      <c r="F193" s="374">
        <v>1</v>
      </c>
      <c r="G193" s="374">
        <v>78</v>
      </c>
      <c r="H193" s="374" t="s">
        <v>372</v>
      </c>
      <c r="I193" s="247">
        <f t="shared" si="8"/>
        <v>78</v>
      </c>
      <c r="J193" s="374">
        <v>78</v>
      </c>
      <c r="K193" s="248">
        <f t="shared" si="11"/>
        <v>78</v>
      </c>
      <c r="L193" s="206">
        <f t="shared" si="9"/>
        <v>7800000</v>
      </c>
      <c r="M193" s="207">
        <f t="shared" si="10"/>
        <v>2.201586271133817E-3</v>
      </c>
      <c r="N193" s="38" t="s">
        <v>372</v>
      </c>
    </row>
    <row r="194" spans="2:14">
      <c r="B194" s="424"/>
      <c r="C194" s="424"/>
      <c r="D194" s="374" t="s">
        <v>574</v>
      </c>
      <c r="E194" s="374">
        <v>153</v>
      </c>
      <c r="F194" s="374">
        <v>204</v>
      </c>
      <c r="G194" s="374">
        <v>300</v>
      </c>
      <c r="H194" s="374" t="s">
        <v>372</v>
      </c>
      <c r="I194" s="247">
        <f t="shared" si="8"/>
        <v>97</v>
      </c>
      <c r="J194" s="374">
        <v>97</v>
      </c>
      <c r="K194" s="248">
        <f t="shared" si="11"/>
        <v>97</v>
      </c>
      <c r="L194" s="206">
        <f t="shared" si="9"/>
        <v>9700000</v>
      </c>
      <c r="M194" s="207">
        <f t="shared" si="10"/>
        <v>2.7378701064100031E-3</v>
      </c>
      <c r="N194" s="38" t="s">
        <v>372</v>
      </c>
    </row>
    <row r="195" spans="2:14">
      <c r="B195" s="424"/>
      <c r="C195" s="424"/>
      <c r="D195" s="374" t="s">
        <v>564</v>
      </c>
      <c r="E195" s="374">
        <v>154</v>
      </c>
      <c r="F195" s="374">
        <v>1</v>
      </c>
      <c r="G195" s="374">
        <v>50</v>
      </c>
      <c r="H195" s="374" t="s">
        <v>372</v>
      </c>
      <c r="I195" s="247">
        <f t="shared" si="8"/>
        <v>50</v>
      </c>
      <c r="J195" s="374">
        <v>50</v>
      </c>
      <c r="K195" s="248">
        <f t="shared" si="11"/>
        <v>50</v>
      </c>
      <c r="L195" s="206">
        <f t="shared" si="9"/>
        <v>5000000</v>
      </c>
      <c r="M195" s="207">
        <f t="shared" si="10"/>
        <v>1.4112732507268056E-3</v>
      </c>
      <c r="N195" s="38" t="s">
        <v>372</v>
      </c>
    </row>
    <row r="196" spans="2:14">
      <c r="B196" s="424"/>
      <c r="C196" s="424"/>
      <c r="D196" s="374" t="s">
        <v>576</v>
      </c>
      <c r="E196" s="374">
        <v>11</v>
      </c>
      <c r="F196" s="374">
        <v>113</v>
      </c>
      <c r="G196" s="374">
        <v>200</v>
      </c>
      <c r="H196" s="374" t="s">
        <v>372</v>
      </c>
      <c r="I196" s="247">
        <f t="shared" si="8"/>
        <v>88</v>
      </c>
      <c r="J196" s="374">
        <v>88</v>
      </c>
      <c r="K196" s="248">
        <f t="shared" si="11"/>
        <v>88</v>
      </c>
      <c r="L196" s="206">
        <f t="shared" si="9"/>
        <v>8800000</v>
      </c>
      <c r="M196" s="207">
        <f t="shared" si="10"/>
        <v>2.4838409212791781E-3</v>
      </c>
      <c r="N196" s="38" t="s">
        <v>372</v>
      </c>
    </row>
    <row r="197" spans="2:14">
      <c r="B197" s="424"/>
      <c r="C197" s="424"/>
      <c r="D197" s="374" t="s">
        <v>498</v>
      </c>
      <c r="E197" s="374">
        <v>12</v>
      </c>
      <c r="F197" s="374">
        <v>1</v>
      </c>
      <c r="G197" s="374">
        <v>112</v>
      </c>
      <c r="H197" s="374" t="s">
        <v>372</v>
      </c>
      <c r="I197" s="247">
        <f t="shared" si="8"/>
        <v>112</v>
      </c>
      <c r="J197" s="374">
        <v>112</v>
      </c>
      <c r="K197" s="248">
        <f t="shared" si="11"/>
        <v>112</v>
      </c>
      <c r="L197" s="206">
        <f t="shared" si="9"/>
        <v>11200000</v>
      </c>
      <c r="M197" s="207">
        <f t="shared" si="10"/>
        <v>3.1612520816280448E-3</v>
      </c>
      <c r="N197" s="38" t="s">
        <v>372</v>
      </c>
    </row>
    <row r="198" spans="2:14">
      <c r="B198" s="424">
        <v>12</v>
      </c>
      <c r="C198" s="424" t="s">
        <v>579</v>
      </c>
      <c r="D198" s="374" t="s">
        <v>510</v>
      </c>
      <c r="E198" s="374">
        <v>1</v>
      </c>
      <c r="F198" s="374">
        <v>1</v>
      </c>
      <c r="G198" s="374">
        <v>425</v>
      </c>
      <c r="H198" s="374" t="s">
        <v>372</v>
      </c>
      <c r="I198" s="247">
        <f>IF(H198="Ordinaria",+J198,0)</f>
        <v>425</v>
      </c>
      <c r="J198" s="374">
        <v>425</v>
      </c>
      <c r="K198" s="248">
        <f t="shared" si="11"/>
        <v>425</v>
      </c>
      <c r="L198" s="206">
        <f t="shared" si="9"/>
        <v>42500000</v>
      </c>
      <c r="M198" s="207">
        <f t="shared" si="10"/>
        <v>1.1995822631177849E-2</v>
      </c>
      <c r="N198" s="38" t="s">
        <v>372</v>
      </c>
    </row>
    <row r="199" spans="2:14">
      <c r="B199" s="424"/>
      <c r="C199" s="424"/>
      <c r="D199" s="374" t="s">
        <v>529</v>
      </c>
      <c r="E199" s="374">
        <v>183</v>
      </c>
      <c r="F199" s="374">
        <v>102</v>
      </c>
      <c r="G199" s="374">
        <v>300</v>
      </c>
      <c r="H199" s="374" t="s">
        <v>372</v>
      </c>
      <c r="I199" s="247">
        <f t="shared" ref="I199:I244" si="12">IF(H199="Ordinaria",+J199,0)</f>
        <v>199</v>
      </c>
      <c r="J199" s="374">
        <v>199</v>
      </c>
      <c r="K199" s="248">
        <f t="shared" si="11"/>
        <v>199</v>
      </c>
      <c r="L199" s="206">
        <f t="shared" si="9"/>
        <v>19900000</v>
      </c>
      <c r="M199" s="207">
        <f t="shared" si="10"/>
        <v>5.6168675378926872E-3</v>
      </c>
      <c r="N199" s="38" t="s">
        <v>372</v>
      </c>
    </row>
    <row r="200" spans="2:14">
      <c r="B200" s="424"/>
      <c r="C200" s="424"/>
      <c r="D200" s="374" t="s">
        <v>527</v>
      </c>
      <c r="E200" s="374">
        <v>184</v>
      </c>
      <c r="F200" s="374">
        <v>1</v>
      </c>
      <c r="G200" s="374">
        <v>300</v>
      </c>
      <c r="H200" s="374" t="s">
        <v>372</v>
      </c>
      <c r="I200" s="247">
        <f t="shared" si="12"/>
        <v>300</v>
      </c>
      <c r="J200" s="374">
        <v>300</v>
      </c>
      <c r="K200" s="248">
        <f t="shared" si="11"/>
        <v>300</v>
      </c>
      <c r="L200" s="206">
        <f t="shared" si="9"/>
        <v>30000000</v>
      </c>
      <c r="M200" s="207">
        <f t="shared" si="10"/>
        <v>8.4676395043608351E-3</v>
      </c>
      <c r="N200" s="38" t="s">
        <v>372</v>
      </c>
    </row>
    <row r="201" spans="2:14">
      <c r="B201" s="424"/>
      <c r="C201" s="424"/>
      <c r="D201" s="374" t="s">
        <v>580</v>
      </c>
      <c r="E201" s="374">
        <v>185</v>
      </c>
      <c r="F201" s="374">
        <v>1</v>
      </c>
      <c r="G201" s="374">
        <v>300</v>
      </c>
      <c r="H201" s="374" t="s">
        <v>372</v>
      </c>
      <c r="I201" s="247">
        <f t="shared" si="12"/>
        <v>300</v>
      </c>
      <c r="J201" s="374">
        <v>300</v>
      </c>
      <c r="K201" s="248">
        <f t="shared" si="11"/>
        <v>300</v>
      </c>
      <c r="L201" s="206">
        <f t="shared" si="9"/>
        <v>30000000</v>
      </c>
      <c r="M201" s="207">
        <f t="shared" si="10"/>
        <v>8.4676395043608351E-3</v>
      </c>
      <c r="N201" s="38" t="s">
        <v>372</v>
      </c>
    </row>
    <row r="202" spans="2:14">
      <c r="B202" s="424"/>
      <c r="C202" s="424"/>
      <c r="D202" s="374" t="s">
        <v>581</v>
      </c>
      <c r="E202" s="374">
        <v>186</v>
      </c>
      <c r="F202" s="374">
        <v>1</v>
      </c>
      <c r="G202" s="374">
        <v>300</v>
      </c>
      <c r="H202" s="374" t="s">
        <v>372</v>
      </c>
      <c r="I202" s="247">
        <f t="shared" si="12"/>
        <v>300</v>
      </c>
      <c r="J202" s="374">
        <v>300</v>
      </c>
      <c r="K202" s="248">
        <f t="shared" si="11"/>
        <v>300</v>
      </c>
      <c r="L202" s="206">
        <f t="shared" si="9"/>
        <v>30000000</v>
      </c>
      <c r="M202" s="207">
        <f t="shared" si="10"/>
        <v>8.4676395043608351E-3</v>
      </c>
      <c r="N202" s="38" t="s">
        <v>372</v>
      </c>
    </row>
    <row r="203" spans="2:14">
      <c r="B203" s="424"/>
      <c r="C203" s="424"/>
      <c r="D203" s="374" t="s">
        <v>582</v>
      </c>
      <c r="E203" s="374">
        <v>187</v>
      </c>
      <c r="F203" s="374">
        <v>1</v>
      </c>
      <c r="G203" s="374">
        <v>300</v>
      </c>
      <c r="H203" s="374" t="s">
        <v>372</v>
      </c>
      <c r="I203" s="247">
        <f t="shared" si="12"/>
        <v>300</v>
      </c>
      <c r="J203" s="374">
        <v>300</v>
      </c>
      <c r="K203" s="248">
        <f t="shared" si="11"/>
        <v>300</v>
      </c>
      <c r="L203" s="206">
        <f t="shared" si="9"/>
        <v>30000000</v>
      </c>
      <c r="M203" s="207">
        <f t="shared" si="10"/>
        <v>8.4676395043608351E-3</v>
      </c>
      <c r="N203" s="38" t="s">
        <v>372</v>
      </c>
    </row>
    <row r="204" spans="2:14">
      <c r="B204" s="424"/>
      <c r="C204" s="424"/>
      <c r="D204" s="374" t="s">
        <v>583</v>
      </c>
      <c r="E204" s="374">
        <v>188</v>
      </c>
      <c r="F204" s="374">
        <v>1</v>
      </c>
      <c r="G204" s="374">
        <v>300</v>
      </c>
      <c r="H204" s="374" t="s">
        <v>372</v>
      </c>
      <c r="I204" s="247">
        <f t="shared" si="12"/>
        <v>300</v>
      </c>
      <c r="J204" s="374">
        <v>300</v>
      </c>
      <c r="K204" s="248">
        <f t="shared" si="11"/>
        <v>300</v>
      </c>
      <c r="L204" s="206">
        <f t="shared" si="9"/>
        <v>30000000</v>
      </c>
      <c r="M204" s="207">
        <f t="shared" si="10"/>
        <v>8.4676395043608351E-3</v>
      </c>
      <c r="N204" s="38" t="s">
        <v>372</v>
      </c>
    </row>
    <row r="205" spans="2:14">
      <c r="B205" s="424"/>
      <c r="C205" s="424"/>
      <c r="D205" s="374" t="s">
        <v>584</v>
      </c>
      <c r="E205" s="374">
        <v>189</v>
      </c>
      <c r="F205" s="374">
        <v>1</v>
      </c>
      <c r="G205" s="374">
        <v>300</v>
      </c>
      <c r="H205" s="374" t="s">
        <v>372</v>
      </c>
      <c r="I205" s="247">
        <f t="shared" si="12"/>
        <v>300</v>
      </c>
      <c r="J205" s="374">
        <v>300</v>
      </c>
      <c r="K205" s="248">
        <f t="shared" si="11"/>
        <v>300</v>
      </c>
      <c r="L205" s="206">
        <f t="shared" si="9"/>
        <v>30000000</v>
      </c>
      <c r="M205" s="207">
        <f t="shared" si="10"/>
        <v>8.4676395043608351E-3</v>
      </c>
      <c r="N205" s="38" t="s">
        <v>372</v>
      </c>
    </row>
    <row r="206" spans="2:14">
      <c r="B206" s="424"/>
      <c r="C206" s="424"/>
      <c r="D206" s="374" t="s">
        <v>585</v>
      </c>
      <c r="E206" s="374">
        <v>190</v>
      </c>
      <c r="F206" s="374">
        <v>1</v>
      </c>
      <c r="G206" s="374">
        <v>300</v>
      </c>
      <c r="H206" s="374" t="s">
        <v>372</v>
      </c>
      <c r="I206" s="247">
        <f t="shared" si="12"/>
        <v>300</v>
      </c>
      <c r="J206" s="374">
        <v>300</v>
      </c>
      <c r="K206" s="248">
        <f t="shared" si="11"/>
        <v>300</v>
      </c>
      <c r="L206" s="206">
        <f t="shared" si="9"/>
        <v>30000000</v>
      </c>
      <c r="M206" s="207">
        <f t="shared" si="10"/>
        <v>8.4676395043608351E-3</v>
      </c>
      <c r="N206" s="38" t="s">
        <v>372</v>
      </c>
    </row>
    <row r="207" spans="2:14">
      <c r="B207" s="424"/>
      <c r="C207" s="424"/>
      <c r="D207" s="374" t="s">
        <v>586</v>
      </c>
      <c r="E207" s="374">
        <v>191</v>
      </c>
      <c r="F207" s="374">
        <v>1</v>
      </c>
      <c r="G207" s="374">
        <v>300</v>
      </c>
      <c r="H207" s="374" t="s">
        <v>372</v>
      </c>
      <c r="I207" s="247">
        <f t="shared" si="12"/>
        <v>300</v>
      </c>
      <c r="J207" s="374">
        <v>300</v>
      </c>
      <c r="K207" s="248">
        <f t="shared" si="11"/>
        <v>300</v>
      </c>
      <c r="L207" s="206">
        <f t="shared" si="9"/>
        <v>30000000</v>
      </c>
      <c r="M207" s="207">
        <f t="shared" si="10"/>
        <v>8.4676395043608351E-3</v>
      </c>
      <c r="N207" s="38" t="s">
        <v>372</v>
      </c>
    </row>
    <row r="208" spans="2:14">
      <c r="B208" s="424"/>
      <c r="C208" s="424"/>
      <c r="D208" s="374" t="s">
        <v>587</v>
      </c>
      <c r="E208" s="374">
        <v>192</v>
      </c>
      <c r="F208" s="374">
        <v>1</v>
      </c>
      <c r="G208" s="374">
        <v>300</v>
      </c>
      <c r="H208" s="374" t="s">
        <v>372</v>
      </c>
      <c r="I208" s="247">
        <f t="shared" si="12"/>
        <v>300</v>
      </c>
      <c r="J208" s="374">
        <v>300</v>
      </c>
      <c r="K208" s="248">
        <f t="shared" si="11"/>
        <v>300</v>
      </c>
      <c r="L208" s="206">
        <f t="shared" si="9"/>
        <v>30000000</v>
      </c>
      <c r="M208" s="207">
        <f t="shared" si="10"/>
        <v>8.4676395043608351E-3</v>
      </c>
      <c r="N208" s="38" t="s">
        <v>372</v>
      </c>
    </row>
    <row r="209" spans="2:14">
      <c r="B209" s="424"/>
      <c r="C209" s="424"/>
      <c r="D209" s="374" t="s">
        <v>588</v>
      </c>
      <c r="E209" s="374">
        <v>193</v>
      </c>
      <c r="F209" s="374">
        <v>1</v>
      </c>
      <c r="G209" s="374">
        <v>300</v>
      </c>
      <c r="H209" s="374" t="s">
        <v>372</v>
      </c>
      <c r="I209" s="247">
        <f t="shared" si="12"/>
        <v>300</v>
      </c>
      <c r="J209" s="374">
        <v>300</v>
      </c>
      <c r="K209" s="248">
        <f t="shared" si="11"/>
        <v>300</v>
      </c>
      <c r="L209" s="206">
        <f t="shared" si="9"/>
        <v>30000000</v>
      </c>
      <c r="M209" s="207">
        <f t="shared" si="10"/>
        <v>8.4676395043608351E-3</v>
      </c>
      <c r="N209" s="38" t="s">
        <v>372</v>
      </c>
    </row>
    <row r="210" spans="2:14">
      <c r="B210" s="424"/>
      <c r="C210" s="424"/>
      <c r="D210" s="374" t="s">
        <v>589</v>
      </c>
      <c r="E210" s="374">
        <v>194</v>
      </c>
      <c r="F210" s="374">
        <v>1</v>
      </c>
      <c r="G210" s="374">
        <v>300</v>
      </c>
      <c r="H210" s="374" t="s">
        <v>372</v>
      </c>
      <c r="I210" s="247">
        <f t="shared" si="12"/>
        <v>300</v>
      </c>
      <c r="J210" s="374">
        <v>300</v>
      </c>
      <c r="K210" s="248">
        <f t="shared" si="11"/>
        <v>300</v>
      </c>
      <c r="L210" s="206">
        <f t="shared" si="9"/>
        <v>30000000</v>
      </c>
      <c r="M210" s="207">
        <f t="shared" si="10"/>
        <v>8.4676395043608351E-3</v>
      </c>
      <c r="N210" s="38" t="s">
        <v>372</v>
      </c>
    </row>
    <row r="211" spans="2:14">
      <c r="B211" s="424"/>
      <c r="C211" s="424"/>
      <c r="D211" s="374" t="s">
        <v>590</v>
      </c>
      <c r="E211" s="374">
        <v>195</v>
      </c>
      <c r="F211" s="374">
        <v>1</v>
      </c>
      <c r="G211" s="374">
        <v>300</v>
      </c>
      <c r="H211" s="374" t="s">
        <v>372</v>
      </c>
      <c r="I211" s="247">
        <f t="shared" si="12"/>
        <v>300</v>
      </c>
      <c r="J211" s="374">
        <v>300</v>
      </c>
      <c r="K211" s="248">
        <f t="shared" si="11"/>
        <v>300</v>
      </c>
      <c r="L211" s="206">
        <f t="shared" si="9"/>
        <v>30000000</v>
      </c>
      <c r="M211" s="207">
        <f t="shared" si="10"/>
        <v>8.4676395043608351E-3</v>
      </c>
      <c r="N211" s="38" t="s">
        <v>372</v>
      </c>
    </row>
    <row r="212" spans="2:14">
      <c r="B212" s="424"/>
      <c r="C212" s="424"/>
      <c r="D212" s="374" t="s">
        <v>591</v>
      </c>
      <c r="E212" s="374">
        <v>196</v>
      </c>
      <c r="F212" s="374">
        <v>1</v>
      </c>
      <c r="G212" s="374">
        <v>300</v>
      </c>
      <c r="H212" s="374" t="s">
        <v>372</v>
      </c>
      <c r="I212" s="247">
        <f t="shared" si="12"/>
        <v>300</v>
      </c>
      <c r="J212" s="374">
        <v>300</v>
      </c>
      <c r="K212" s="248">
        <f t="shared" si="11"/>
        <v>300</v>
      </c>
      <c r="L212" s="206">
        <f t="shared" si="9"/>
        <v>30000000</v>
      </c>
      <c r="M212" s="207">
        <f t="shared" si="10"/>
        <v>8.4676395043608351E-3</v>
      </c>
      <c r="N212" s="38" t="s">
        <v>372</v>
      </c>
    </row>
    <row r="213" spans="2:14">
      <c r="B213" s="424"/>
      <c r="C213" s="424"/>
      <c r="D213" s="374" t="s">
        <v>592</v>
      </c>
      <c r="E213" s="374">
        <v>197</v>
      </c>
      <c r="F213" s="374">
        <v>1</v>
      </c>
      <c r="G213" s="374">
        <v>300</v>
      </c>
      <c r="H213" s="374" t="s">
        <v>372</v>
      </c>
      <c r="I213" s="247">
        <f t="shared" si="12"/>
        <v>300</v>
      </c>
      <c r="J213" s="374">
        <v>300</v>
      </c>
      <c r="K213" s="248">
        <f t="shared" si="11"/>
        <v>300</v>
      </c>
      <c r="L213" s="206">
        <f t="shared" si="9"/>
        <v>30000000</v>
      </c>
      <c r="M213" s="207">
        <f t="shared" si="10"/>
        <v>8.4676395043608351E-3</v>
      </c>
      <c r="N213" s="38" t="s">
        <v>372</v>
      </c>
    </row>
    <row r="214" spans="2:14">
      <c r="B214" s="424"/>
      <c r="C214" s="424"/>
      <c r="D214" s="374" t="s">
        <v>593</v>
      </c>
      <c r="E214" s="374">
        <v>198</v>
      </c>
      <c r="F214" s="374">
        <v>1</v>
      </c>
      <c r="G214" s="374">
        <v>300</v>
      </c>
      <c r="H214" s="374" t="s">
        <v>372</v>
      </c>
      <c r="I214" s="247">
        <f t="shared" si="12"/>
        <v>300</v>
      </c>
      <c r="J214" s="374">
        <v>300</v>
      </c>
      <c r="K214" s="248">
        <f t="shared" si="11"/>
        <v>300</v>
      </c>
      <c r="L214" s="206">
        <f t="shared" si="9"/>
        <v>30000000</v>
      </c>
      <c r="M214" s="207">
        <f t="shared" si="10"/>
        <v>8.4676395043608351E-3</v>
      </c>
      <c r="N214" s="38" t="s">
        <v>372</v>
      </c>
    </row>
    <row r="215" spans="2:14">
      <c r="B215" s="424"/>
      <c r="C215" s="424"/>
      <c r="D215" s="374" t="s">
        <v>594</v>
      </c>
      <c r="E215" s="374">
        <v>199</v>
      </c>
      <c r="F215" s="374">
        <v>1</v>
      </c>
      <c r="G215" s="374">
        <v>300</v>
      </c>
      <c r="H215" s="374" t="s">
        <v>372</v>
      </c>
      <c r="I215" s="247">
        <f t="shared" si="12"/>
        <v>300</v>
      </c>
      <c r="J215" s="374">
        <v>300</v>
      </c>
      <c r="K215" s="248">
        <f t="shared" si="11"/>
        <v>300</v>
      </c>
      <c r="L215" s="206">
        <f t="shared" si="9"/>
        <v>30000000</v>
      </c>
      <c r="M215" s="207">
        <f t="shared" si="10"/>
        <v>8.4676395043608351E-3</v>
      </c>
      <c r="N215" s="38" t="s">
        <v>372</v>
      </c>
    </row>
    <row r="216" spans="2:14">
      <c r="B216" s="424"/>
      <c r="C216" s="424"/>
      <c r="D216" s="374" t="s">
        <v>566</v>
      </c>
      <c r="E216" s="374">
        <v>200</v>
      </c>
      <c r="F216" s="374">
        <v>1</v>
      </c>
      <c r="G216" s="374">
        <v>100</v>
      </c>
      <c r="H216" s="374" t="s">
        <v>372</v>
      </c>
      <c r="I216" s="247">
        <f t="shared" si="12"/>
        <v>201</v>
      </c>
      <c r="J216" s="374">
        <v>201</v>
      </c>
      <c r="K216" s="248">
        <f t="shared" si="11"/>
        <v>201</v>
      </c>
      <c r="L216" s="206">
        <f t="shared" si="9"/>
        <v>20100000</v>
      </c>
      <c r="M216" s="207">
        <f t="shared" si="10"/>
        <v>5.6733184679217587E-3</v>
      </c>
      <c r="N216" s="38" t="s">
        <v>372</v>
      </c>
    </row>
    <row r="217" spans="2:14">
      <c r="B217" s="424"/>
      <c r="C217" s="424"/>
      <c r="D217" s="374" t="s">
        <v>504</v>
      </c>
      <c r="E217" s="374" t="s">
        <v>483</v>
      </c>
      <c r="F217" s="374">
        <v>133</v>
      </c>
      <c r="G217" s="374">
        <v>137</v>
      </c>
      <c r="H217" s="374" t="s">
        <v>372</v>
      </c>
      <c r="I217" s="247">
        <f t="shared" si="12"/>
        <v>5</v>
      </c>
      <c r="J217" s="374">
        <v>5</v>
      </c>
      <c r="K217" s="248">
        <f t="shared" si="11"/>
        <v>5</v>
      </c>
      <c r="L217" s="206">
        <f t="shared" si="9"/>
        <v>500000</v>
      </c>
      <c r="M217" s="207">
        <f t="shared" si="10"/>
        <v>1.4112732507268059E-4</v>
      </c>
      <c r="N217" s="38" t="s">
        <v>372</v>
      </c>
    </row>
    <row r="218" spans="2:14">
      <c r="B218" s="424"/>
      <c r="C218" s="424"/>
      <c r="D218" s="374" t="s">
        <v>509</v>
      </c>
      <c r="E218" s="374" t="s">
        <v>483</v>
      </c>
      <c r="F218" s="374">
        <v>1</v>
      </c>
      <c r="G218" s="374">
        <v>300</v>
      </c>
      <c r="H218" s="374" t="s">
        <v>372</v>
      </c>
      <c r="I218" s="247">
        <f t="shared" si="12"/>
        <v>200</v>
      </c>
      <c r="J218" s="374">
        <v>200</v>
      </c>
      <c r="K218" s="248">
        <f t="shared" si="11"/>
        <v>200</v>
      </c>
      <c r="L218" s="206">
        <f t="shared" si="9"/>
        <v>20000000</v>
      </c>
      <c r="M218" s="207">
        <f t="shared" si="10"/>
        <v>5.6450930029072225E-3</v>
      </c>
      <c r="N218" s="38" t="s">
        <v>372</v>
      </c>
    </row>
    <row r="219" spans="2:14">
      <c r="B219" s="424"/>
      <c r="C219" s="424"/>
      <c r="D219" s="374" t="s">
        <v>514</v>
      </c>
      <c r="E219" s="374" t="s">
        <v>483</v>
      </c>
      <c r="F219" s="374">
        <v>1</v>
      </c>
      <c r="G219" s="374">
        <v>300</v>
      </c>
      <c r="H219" s="374" t="s">
        <v>372</v>
      </c>
      <c r="I219" s="247">
        <f t="shared" si="12"/>
        <v>200</v>
      </c>
      <c r="J219" s="374">
        <v>200</v>
      </c>
      <c r="K219" s="248">
        <f t="shared" si="11"/>
        <v>200</v>
      </c>
      <c r="L219" s="206">
        <f t="shared" si="9"/>
        <v>20000000</v>
      </c>
      <c r="M219" s="207">
        <f t="shared" si="10"/>
        <v>5.6450930029072225E-3</v>
      </c>
      <c r="N219" s="38" t="s">
        <v>372</v>
      </c>
    </row>
    <row r="220" spans="2:14">
      <c r="B220" s="424"/>
      <c r="C220" s="424"/>
      <c r="D220" s="374" t="s">
        <v>490</v>
      </c>
      <c r="E220" s="374" t="s">
        <v>483</v>
      </c>
      <c r="F220" s="374">
        <v>1</v>
      </c>
      <c r="G220" s="374">
        <v>300</v>
      </c>
      <c r="H220" s="374" t="s">
        <v>372</v>
      </c>
      <c r="I220" s="247">
        <f t="shared" si="12"/>
        <v>102</v>
      </c>
      <c r="J220" s="374">
        <v>102</v>
      </c>
      <c r="K220" s="248">
        <f t="shared" si="11"/>
        <v>102</v>
      </c>
      <c r="L220" s="206">
        <f t="shared" si="9"/>
        <v>10200000</v>
      </c>
      <c r="M220" s="207">
        <f t="shared" si="10"/>
        <v>2.8789974314826837E-3</v>
      </c>
      <c r="N220" s="38" t="s">
        <v>372</v>
      </c>
    </row>
    <row r="221" spans="2:14">
      <c r="B221" s="424"/>
      <c r="C221" s="424"/>
      <c r="D221" s="374" t="s">
        <v>523</v>
      </c>
      <c r="E221" s="374" t="s">
        <v>483</v>
      </c>
      <c r="F221" s="374">
        <v>1</v>
      </c>
      <c r="G221" s="374">
        <v>63</v>
      </c>
      <c r="H221" s="374" t="s">
        <v>372</v>
      </c>
      <c r="I221" s="247">
        <f t="shared" si="12"/>
        <v>200</v>
      </c>
      <c r="J221" s="374">
        <v>200</v>
      </c>
      <c r="K221" s="248">
        <f t="shared" si="11"/>
        <v>200</v>
      </c>
      <c r="L221" s="206">
        <f t="shared" si="9"/>
        <v>20000000</v>
      </c>
      <c r="M221" s="207">
        <f t="shared" si="10"/>
        <v>5.6450930029072225E-3</v>
      </c>
      <c r="N221" s="38" t="s">
        <v>372</v>
      </c>
    </row>
    <row r="222" spans="2:14">
      <c r="B222" s="424"/>
      <c r="C222" s="424"/>
      <c r="D222" s="374" t="s">
        <v>486</v>
      </c>
      <c r="E222" s="374">
        <v>1</v>
      </c>
      <c r="F222" s="374">
        <v>1</v>
      </c>
      <c r="G222" s="374">
        <f>J222-F222+1</f>
        <v>1830</v>
      </c>
      <c r="H222" s="374" t="s">
        <v>604</v>
      </c>
      <c r="I222" s="247">
        <f t="shared" si="12"/>
        <v>0</v>
      </c>
      <c r="J222" s="249">
        <v>1830</v>
      </c>
      <c r="K222" s="248">
        <f t="shared" si="11"/>
        <v>0</v>
      </c>
      <c r="L222" s="206">
        <f t="shared" si="9"/>
        <v>183000000</v>
      </c>
      <c r="M222" s="207">
        <f t="shared" si="10"/>
        <v>5.1652600976601092E-2</v>
      </c>
      <c r="N222" s="38" t="s">
        <v>604</v>
      </c>
    </row>
    <row r="223" spans="2:14">
      <c r="B223" s="424">
        <v>13</v>
      </c>
      <c r="C223" s="434" t="s">
        <v>595</v>
      </c>
      <c r="D223" s="374" t="s">
        <v>596</v>
      </c>
      <c r="E223" s="374">
        <v>169</v>
      </c>
      <c r="F223" s="374">
        <v>102</v>
      </c>
      <c r="G223" s="374">
        <v>300</v>
      </c>
      <c r="H223" s="374" t="s">
        <v>372</v>
      </c>
      <c r="I223" s="247">
        <f t="shared" si="12"/>
        <v>199</v>
      </c>
      <c r="J223" s="374">
        <v>199</v>
      </c>
      <c r="K223" s="248">
        <f t="shared" si="11"/>
        <v>199</v>
      </c>
      <c r="L223" s="206">
        <f>J223*100000</f>
        <v>19900000</v>
      </c>
      <c r="M223" s="207">
        <f t="shared" si="10"/>
        <v>5.6168675378926872E-3</v>
      </c>
      <c r="N223" s="38" t="s">
        <v>372</v>
      </c>
    </row>
    <row r="224" spans="2:14">
      <c r="B224" s="424"/>
      <c r="C224" s="434"/>
      <c r="D224" s="374" t="s">
        <v>597</v>
      </c>
      <c r="E224" s="374">
        <v>170</v>
      </c>
      <c r="F224" s="374">
        <v>1</v>
      </c>
      <c r="G224" s="374">
        <v>300</v>
      </c>
      <c r="H224" s="374" t="s">
        <v>372</v>
      </c>
      <c r="I224" s="247">
        <f t="shared" si="12"/>
        <v>300</v>
      </c>
      <c r="J224" s="374">
        <v>300</v>
      </c>
      <c r="K224" s="248">
        <f t="shared" si="11"/>
        <v>300</v>
      </c>
      <c r="L224" s="206">
        <f>J224*100000</f>
        <v>30000000</v>
      </c>
      <c r="M224" s="207">
        <f t="shared" si="10"/>
        <v>8.4676395043608351E-3</v>
      </c>
      <c r="N224" s="38" t="s">
        <v>372</v>
      </c>
    </row>
    <row r="225" spans="2:14">
      <c r="B225" s="424"/>
      <c r="C225" s="434"/>
      <c r="D225" s="374" t="s">
        <v>511</v>
      </c>
      <c r="E225" s="374">
        <v>180</v>
      </c>
      <c r="F225" s="374">
        <v>1</v>
      </c>
      <c r="G225" s="374">
        <v>300</v>
      </c>
      <c r="H225" s="374" t="s">
        <v>372</v>
      </c>
      <c r="I225" s="247">
        <f t="shared" si="12"/>
        <v>300</v>
      </c>
      <c r="J225" s="374">
        <v>300</v>
      </c>
      <c r="K225" s="248">
        <f t="shared" si="11"/>
        <v>300</v>
      </c>
      <c r="L225" s="206">
        <f>J225*100000</f>
        <v>30000000</v>
      </c>
      <c r="M225" s="207">
        <f t="shared" si="10"/>
        <v>8.4676395043608351E-3</v>
      </c>
      <c r="N225" s="38" t="s">
        <v>372</v>
      </c>
    </row>
    <row r="226" spans="2:14">
      <c r="B226" s="424"/>
      <c r="C226" s="434"/>
      <c r="D226" s="374" t="s">
        <v>528</v>
      </c>
      <c r="E226" s="374">
        <v>181</v>
      </c>
      <c r="F226" s="374">
        <v>1</v>
      </c>
      <c r="G226" s="374">
        <v>300</v>
      </c>
      <c r="H226" s="374" t="s">
        <v>372</v>
      </c>
      <c r="I226" s="247">
        <f t="shared" si="12"/>
        <v>300</v>
      </c>
      <c r="J226" s="374">
        <v>300</v>
      </c>
      <c r="K226" s="248">
        <f t="shared" si="11"/>
        <v>300</v>
      </c>
      <c r="L226" s="206">
        <f>J226*100000</f>
        <v>30000000</v>
      </c>
      <c r="M226" s="207">
        <f t="shared" si="10"/>
        <v>8.4676395043608351E-3</v>
      </c>
      <c r="N226" s="38" t="s">
        <v>372</v>
      </c>
    </row>
    <row r="227" spans="2:14">
      <c r="B227" s="424"/>
      <c r="C227" s="434"/>
      <c r="D227" s="374" t="s">
        <v>529</v>
      </c>
      <c r="E227" s="374">
        <v>182</v>
      </c>
      <c r="F227" s="374">
        <v>1</v>
      </c>
      <c r="G227" s="374">
        <v>101</v>
      </c>
      <c r="H227" s="374" t="s">
        <v>372</v>
      </c>
      <c r="I227" s="247">
        <f t="shared" si="12"/>
        <v>101</v>
      </c>
      <c r="J227" s="374">
        <v>101</v>
      </c>
      <c r="K227" s="248">
        <f t="shared" si="11"/>
        <v>101</v>
      </c>
      <c r="L227" s="206">
        <f>J227*100000</f>
        <v>10100000</v>
      </c>
      <c r="M227" s="207">
        <f t="shared" si="10"/>
        <v>2.8507719664681475E-3</v>
      </c>
      <c r="N227" s="38" t="s">
        <v>372</v>
      </c>
    </row>
    <row r="228" spans="2:14">
      <c r="B228" s="374">
        <v>14</v>
      </c>
      <c r="C228" s="385" t="s">
        <v>598</v>
      </c>
      <c r="D228" s="374" t="s">
        <v>486</v>
      </c>
      <c r="E228" s="374" t="s">
        <v>486</v>
      </c>
      <c r="F228" s="374">
        <f>G222+1</f>
        <v>1831</v>
      </c>
      <c r="G228" s="374">
        <f>J228+F228-1</f>
        <v>3450</v>
      </c>
      <c r="H228" s="374" t="s">
        <v>604</v>
      </c>
      <c r="I228" s="247">
        <f t="shared" si="12"/>
        <v>0</v>
      </c>
      <c r="J228" s="250">
        <v>1620</v>
      </c>
      <c r="K228" s="248">
        <f t="shared" si="11"/>
        <v>0</v>
      </c>
      <c r="L228" s="206">
        <f t="shared" ref="L228:L244" si="13">J228*100000</f>
        <v>162000000</v>
      </c>
      <c r="M228" s="207">
        <f t="shared" si="10"/>
        <v>4.5725253323548508E-2</v>
      </c>
      <c r="N228" s="38" t="s">
        <v>604</v>
      </c>
    </row>
    <row r="229" spans="2:14">
      <c r="B229" s="424">
        <v>15</v>
      </c>
      <c r="C229" s="434" t="s">
        <v>599</v>
      </c>
      <c r="D229" s="374" t="s">
        <v>486</v>
      </c>
      <c r="E229" s="374" t="s">
        <v>486</v>
      </c>
      <c r="F229" s="374">
        <f>G228+1</f>
        <v>3451</v>
      </c>
      <c r="G229" s="374">
        <f>F229+J229-1</f>
        <v>3740</v>
      </c>
      <c r="H229" s="374" t="s">
        <v>604</v>
      </c>
      <c r="I229" s="247">
        <f t="shared" si="12"/>
        <v>0</v>
      </c>
      <c r="J229" s="249">
        <v>290</v>
      </c>
      <c r="K229" s="248">
        <f t="shared" si="11"/>
        <v>0</v>
      </c>
      <c r="L229" s="206">
        <f t="shared" si="13"/>
        <v>29000000</v>
      </c>
      <c r="M229" s="207">
        <f t="shared" si="10"/>
        <v>8.1853848542154731E-3</v>
      </c>
      <c r="N229" s="38" t="s">
        <v>604</v>
      </c>
    </row>
    <row r="230" spans="2:14">
      <c r="B230" s="424"/>
      <c r="C230" s="434"/>
      <c r="D230" s="374" t="s">
        <v>486</v>
      </c>
      <c r="E230" s="374" t="s">
        <v>486</v>
      </c>
      <c r="F230" s="374">
        <f t="shared" ref="F230:F244" si="14">G229+1</f>
        <v>3741</v>
      </c>
      <c r="G230" s="374">
        <f t="shared" ref="G230:G244" si="15">F230+J230-1</f>
        <v>4450</v>
      </c>
      <c r="H230" s="374" t="s">
        <v>604</v>
      </c>
      <c r="I230" s="247">
        <f t="shared" si="12"/>
        <v>0</v>
      </c>
      <c r="J230" s="249">
        <v>710</v>
      </c>
      <c r="K230" s="248">
        <f t="shared" si="11"/>
        <v>0</v>
      </c>
      <c r="L230" s="206">
        <f t="shared" si="13"/>
        <v>71000000</v>
      </c>
      <c r="M230" s="207">
        <f t="shared" si="10"/>
        <v>2.004008016032064E-2</v>
      </c>
      <c r="N230" s="38" t="s">
        <v>604</v>
      </c>
    </row>
    <row r="231" spans="2:14">
      <c r="B231" s="424">
        <v>16</v>
      </c>
      <c r="C231" s="434" t="s">
        <v>600</v>
      </c>
      <c r="D231" s="374" t="s">
        <v>486</v>
      </c>
      <c r="E231" s="374" t="s">
        <v>486</v>
      </c>
      <c r="F231" s="374">
        <f t="shared" si="14"/>
        <v>4451</v>
      </c>
      <c r="G231" s="374">
        <f t="shared" si="15"/>
        <v>4950</v>
      </c>
      <c r="H231" s="374" t="s">
        <v>604</v>
      </c>
      <c r="I231" s="247">
        <f t="shared" si="12"/>
        <v>0</v>
      </c>
      <c r="J231" s="249">
        <v>500</v>
      </c>
      <c r="K231" s="248">
        <f t="shared" si="11"/>
        <v>0</v>
      </c>
      <c r="L231" s="206">
        <f t="shared" si="13"/>
        <v>50000000</v>
      </c>
      <c r="M231" s="207">
        <f t="shared" si="10"/>
        <v>1.4112732507268057E-2</v>
      </c>
      <c r="N231" s="38" t="s">
        <v>604</v>
      </c>
    </row>
    <row r="232" spans="2:14">
      <c r="B232" s="424"/>
      <c r="C232" s="434"/>
      <c r="D232" s="374" t="s">
        <v>486</v>
      </c>
      <c r="E232" s="374" t="s">
        <v>486</v>
      </c>
      <c r="F232" s="374">
        <f t="shared" si="14"/>
        <v>4951</v>
      </c>
      <c r="G232" s="374">
        <f t="shared" si="15"/>
        <v>5450</v>
      </c>
      <c r="H232" s="374" t="s">
        <v>604</v>
      </c>
      <c r="I232" s="247">
        <f t="shared" si="12"/>
        <v>0</v>
      </c>
      <c r="J232" s="249">
        <v>500</v>
      </c>
      <c r="K232" s="248">
        <f t="shared" si="11"/>
        <v>0</v>
      </c>
      <c r="L232" s="206">
        <f t="shared" si="13"/>
        <v>50000000</v>
      </c>
      <c r="M232" s="207">
        <f t="shared" si="10"/>
        <v>1.4112732507268057E-2</v>
      </c>
      <c r="N232" s="38" t="s">
        <v>604</v>
      </c>
    </row>
    <row r="233" spans="2:14">
      <c r="B233" s="374">
        <v>17</v>
      </c>
      <c r="C233" s="385" t="s">
        <v>601</v>
      </c>
      <c r="D233" s="374" t="s">
        <v>486</v>
      </c>
      <c r="E233" s="374" t="s">
        <v>486</v>
      </c>
      <c r="F233" s="374">
        <f t="shared" si="14"/>
        <v>5451</v>
      </c>
      <c r="G233" s="374">
        <f t="shared" si="15"/>
        <v>6200</v>
      </c>
      <c r="H233" s="374" t="s">
        <v>604</v>
      </c>
      <c r="I233" s="247">
        <f t="shared" si="12"/>
        <v>0</v>
      </c>
      <c r="J233" s="249">
        <v>750</v>
      </c>
      <c r="K233" s="248">
        <f t="shared" si="11"/>
        <v>0</v>
      </c>
      <c r="L233" s="206">
        <f t="shared" si="13"/>
        <v>75000000</v>
      </c>
      <c r="M233" s="207">
        <f t="shared" si="10"/>
        <v>2.1169098760902085E-2</v>
      </c>
      <c r="N233" s="38" t="s">
        <v>604</v>
      </c>
    </row>
    <row r="234" spans="2:14">
      <c r="B234" s="374">
        <v>18</v>
      </c>
      <c r="C234" s="385" t="s">
        <v>602</v>
      </c>
      <c r="D234" s="374" t="s">
        <v>486</v>
      </c>
      <c r="E234" s="374" t="s">
        <v>486</v>
      </c>
      <c r="F234" s="374">
        <f t="shared" si="14"/>
        <v>6201</v>
      </c>
      <c r="G234" s="374">
        <f t="shared" si="15"/>
        <v>6950</v>
      </c>
      <c r="H234" s="374" t="s">
        <v>604</v>
      </c>
      <c r="I234" s="247">
        <f t="shared" si="12"/>
        <v>0</v>
      </c>
      <c r="J234" s="250">
        <v>750</v>
      </c>
      <c r="K234" s="248">
        <f t="shared" si="11"/>
        <v>0</v>
      </c>
      <c r="L234" s="206">
        <f t="shared" si="13"/>
        <v>75000000</v>
      </c>
      <c r="M234" s="207">
        <f t="shared" si="10"/>
        <v>2.1169098760902085E-2</v>
      </c>
      <c r="N234" s="38" t="s">
        <v>604</v>
      </c>
    </row>
    <row r="235" spans="2:14">
      <c r="B235" s="374">
        <v>19</v>
      </c>
      <c r="C235" s="385" t="s">
        <v>764</v>
      </c>
      <c r="D235" s="374" t="s">
        <v>486</v>
      </c>
      <c r="E235" s="374" t="s">
        <v>486</v>
      </c>
      <c r="F235" s="374">
        <f t="shared" si="14"/>
        <v>6951</v>
      </c>
      <c r="G235" s="374">
        <f t="shared" si="15"/>
        <v>8450</v>
      </c>
      <c r="H235" s="374" t="s">
        <v>604</v>
      </c>
      <c r="I235" s="247">
        <f t="shared" si="12"/>
        <v>0</v>
      </c>
      <c r="J235" s="249">
        <v>1500</v>
      </c>
      <c r="K235" s="248">
        <f t="shared" si="11"/>
        <v>0</v>
      </c>
      <c r="L235" s="206">
        <f t="shared" si="13"/>
        <v>150000000</v>
      </c>
      <c r="M235" s="207">
        <f t="shared" si="10"/>
        <v>4.233819752180417E-2</v>
      </c>
      <c r="N235" s="38" t="s">
        <v>604</v>
      </c>
    </row>
    <row r="236" spans="2:14">
      <c r="B236" s="374">
        <v>20</v>
      </c>
      <c r="C236" s="385" t="s">
        <v>603</v>
      </c>
      <c r="D236" s="374" t="s">
        <v>486</v>
      </c>
      <c r="E236" s="374" t="s">
        <v>486</v>
      </c>
      <c r="F236" s="374">
        <f t="shared" si="14"/>
        <v>8451</v>
      </c>
      <c r="G236" s="374">
        <f t="shared" si="15"/>
        <v>10000</v>
      </c>
      <c r="H236" s="374" t="s">
        <v>604</v>
      </c>
      <c r="I236" s="247">
        <f t="shared" si="12"/>
        <v>0</v>
      </c>
      <c r="J236" s="251">
        <f>2000-450</f>
        <v>1550</v>
      </c>
      <c r="K236" s="252">
        <f t="shared" si="11"/>
        <v>0</v>
      </c>
      <c r="L236" s="253">
        <f t="shared" si="13"/>
        <v>155000000</v>
      </c>
      <c r="M236" s="254">
        <f t="shared" si="10"/>
        <v>4.3749470772530975E-2</v>
      </c>
      <c r="N236" s="38" t="s">
        <v>604</v>
      </c>
    </row>
    <row r="237" spans="2:14">
      <c r="B237" s="374">
        <v>21</v>
      </c>
      <c r="C237" s="385" t="s">
        <v>603</v>
      </c>
      <c r="D237" s="374" t="s">
        <v>483</v>
      </c>
      <c r="E237" s="374" t="s">
        <v>483</v>
      </c>
      <c r="F237" s="374">
        <f t="shared" si="14"/>
        <v>10001</v>
      </c>
      <c r="G237" s="374">
        <f t="shared" si="15"/>
        <v>10450</v>
      </c>
      <c r="H237" s="374" t="s">
        <v>604</v>
      </c>
      <c r="I237" s="247">
        <f t="shared" si="12"/>
        <v>0</v>
      </c>
      <c r="J237" s="251">
        <v>450</v>
      </c>
      <c r="K237" s="252">
        <f t="shared" si="11"/>
        <v>0</v>
      </c>
      <c r="L237" s="253">
        <f t="shared" si="13"/>
        <v>45000000</v>
      </c>
      <c r="M237" s="254">
        <f t="shared" si="10"/>
        <v>1.2701459256541252E-2</v>
      </c>
      <c r="N237" s="38" t="s">
        <v>604</v>
      </c>
    </row>
    <row r="238" spans="2:14">
      <c r="B238" s="374">
        <v>22</v>
      </c>
      <c r="C238" s="385" t="s">
        <v>603</v>
      </c>
      <c r="D238" s="374" t="s">
        <v>483</v>
      </c>
      <c r="E238" s="374" t="s">
        <v>483</v>
      </c>
      <c r="F238" s="374">
        <f t="shared" si="14"/>
        <v>10451</v>
      </c>
      <c r="G238" s="374">
        <f t="shared" si="15"/>
        <v>10718</v>
      </c>
      <c r="H238" s="374" t="s">
        <v>604</v>
      </c>
      <c r="I238" s="247"/>
      <c r="J238" s="251">
        <v>268</v>
      </c>
      <c r="K238" s="252"/>
      <c r="L238" s="253">
        <f t="shared" si="13"/>
        <v>26800000</v>
      </c>
      <c r="M238" s="254">
        <f t="shared" si="10"/>
        <v>7.5644246238956783E-3</v>
      </c>
      <c r="N238" s="38" t="s">
        <v>604</v>
      </c>
    </row>
    <row r="239" spans="2:14">
      <c r="B239" s="374">
        <v>23</v>
      </c>
      <c r="C239" s="385" t="s">
        <v>764</v>
      </c>
      <c r="D239" s="374" t="s">
        <v>483</v>
      </c>
      <c r="E239" s="374" t="s">
        <v>483</v>
      </c>
      <c r="F239" s="374">
        <f t="shared" si="14"/>
        <v>10719</v>
      </c>
      <c r="G239" s="374">
        <f t="shared" si="15"/>
        <v>10788</v>
      </c>
      <c r="H239" s="374" t="s">
        <v>604</v>
      </c>
      <c r="I239" s="247">
        <f t="shared" si="12"/>
        <v>0</v>
      </c>
      <c r="J239" s="251">
        <v>70</v>
      </c>
      <c r="K239" s="252">
        <f t="shared" si="11"/>
        <v>0</v>
      </c>
      <c r="L239" s="253">
        <f t="shared" si="13"/>
        <v>7000000</v>
      </c>
      <c r="M239" s="254">
        <f t="shared" si="10"/>
        <v>1.9757825510175282E-3</v>
      </c>
      <c r="N239" s="38" t="s">
        <v>604</v>
      </c>
    </row>
    <row r="240" spans="2:14">
      <c r="B240" s="374">
        <v>24</v>
      </c>
      <c r="C240" s="385" t="s">
        <v>598</v>
      </c>
      <c r="D240" s="374" t="s">
        <v>483</v>
      </c>
      <c r="E240" s="374" t="s">
        <v>483</v>
      </c>
      <c r="F240" s="374">
        <f t="shared" si="14"/>
        <v>10789</v>
      </c>
      <c r="G240" s="374">
        <f t="shared" si="15"/>
        <v>10996</v>
      </c>
      <c r="H240" s="374" t="s">
        <v>604</v>
      </c>
      <c r="I240" s="247">
        <f t="shared" si="12"/>
        <v>0</v>
      </c>
      <c r="J240" s="251">
        <v>208</v>
      </c>
      <c r="K240" s="252">
        <f t="shared" si="11"/>
        <v>0</v>
      </c>
      <c r="L240" s="253">
        <f t="shared" si="13"/>
        <v>20800000</v>
      </c>
      <c r="M240" s="254">
        <f t="shared" si="10"/>
        <v>5.8708967230235122E-3</v>
      </c>
      <c r="N240" s="38" t="s">
        <v>604</v>
      </c>
    </row>
    <row r="241" spans="2:14">
      <c r="B241" s="374">
        <v>25</v>
      </c>
      <c r="C241" s="385" t="s">
        <v>602</v>
      </c>
      <c r="D241" s="374" t="s">
        <v>483</v>
      </c>
      <c r="E241" s="374" t="s">
        <v>483</v>
      </c>
      <c r="F241" s="374">
        <f t="shared" si="14"/>
        <v>10997</v>
      </c>
      <c r="G241" s="374">
        <f t="shared" si="15"/>
        <v>11748</v>
      </c>
      <c r="H241" s="374" t="s">
        <v>604</v>
      </c>
      <c r="I241" s="247">
        <f t="shared" si="12"/>
        <v>0</v>
      </c>
      <c r="J241" s="251">
        <v>752</v>
      </c>
      <c r="K241" s="252">
        <f t="shared" si="11"/>
        <v>0</v>
      </c>
      <c r="L241" s="253">
        <f t="shared" si="13"/>
        <v>75200000</v>
      </c>
      <c r="M241" s="254">
        <f t="shared" si="10"/>
        <v>2.1225549690931159E-2</v>
      </c>
      <c r="N241" s="38" t="s">
        <v>604</v>
      </c>
    </row>
    <row r="242" spans="2:14">
      <c r="B242" s="374">
        <v>26</v>
      </c>
      <c r="C242" s="385" t="s">
        <v>601</v>
      </c>
      <c r="D242" s="374" t="s">
        <v>483</v>
      </c>
      <c r="E242" s="374" t="s">
        <v>483</v>
      </c>
      <c r="F242" s="374">
        <f t="shared" si="14"/>
        <v>11749</v>
      </c>
      <c r="G242" s="374">
        <f t="shared" si="15"/>
        <v>12500</v>
      </c>
      <c r="H242" s="374" t="s">
        <v>604</v>
      </c>
      <c r="I242" s="247">
        <f t="shared" si="12"/>
        <v>0</v>
      </c>
      <c r="J242" s="251">
        <v>752</v>
      </c>
      <c r="K242" s="252">
        <f t="shared" si="11"/>
        <v>0</v>
      </c>
      <c r="L242" s="253">
        <f t="shared" si="13"/>
        <v>75200000</v>
      </c>
      <c r="M242" s="254">
        <f t="shared" si="10"/>
        <v>2.1225549690931159E-2</v>
      </c>
      <c r="N242" s="38" t="s">
        <v>604</v>
      </c>
    </row>
    <row r="243" spans="2:14">
      <c r="B243" s="374">
        <v>27</v>
      </c>
      <c r="C243" s="385" t="s">
        <v>602</v>
      </c>
      <c r="D243" s="374" t="s">
        <v>483</v>
      </c>
      <c r="E243" s="374" t="s">
        <v>483</v>
      </c>
      <c r="F243" s="374">
        <f t="shared" si="14"/>
        <v>12501</v>
      </c>
      <c r="G243" s="374">
        <f t="shared" si="15"/>
        <v>12528</v>
      </c>
      <c r="H243" s="374" t="s">
        <v>604</v>
      </c>
      <c r="I243" s="247">
        <f t="shared" si="12"/>
        <v>0</v>
      </c>
      <c r="J243" s="251">
        <v>28</v>
      </c>
      <c r="K243" s="252">
        <f t="shared" si="11"/>
        <v>0</v>
      </c>
      <c r="L243" s="253">
        <f t="shared" si="13"/>
        <v>2800000</v>
      </c>
      <c r="M243" s="207">
        <f t="shared" si="10"/>
        <v>7.9031302040701121E-4</v>
      </c>
      <c r="N243" s="38" t="s">
        <v>604</v>
      </c>
    </row>
    <row r="244" spans="2:14" ht="15" thickBot="1">
      <c r="B244" s="374">
        <v>28</v>
      </c>
      <c r="C244" s="385" t="s">
        <v>601</v>
      </c>
      <c r="D244" s="374" t="s">
        <v>483</v>
      </c>
      <c r="E244" s="374" t="s">
        <v>483</v>
      </c>
      <c r="F244" s="374">
        <f t="shared" si="14"/>
        <v>12529</v>
      </c>
      <c r="G244" s="374">
        <f t="shared" si="15"/>
        <v>12556</v>
      </c>
      <c r="H244" s="374" t="s">
        <v>604</v>
      </c>
      <c r="I244" s="247">
        <f t="shared" si="12"/>
        <v>0</v>
      </c>
      <c r="J244" s="251">
        <v>28</v>
      </c>
      <c r="K244" s="252">
        <f t="shared" si="11"/>
        <v>0</v>
      </c>
      <c r="L244" s="386">
        <f t="shared" si="13"/>
        <v>2800000</v>
      </c>
      <c r="M244" s="207">
        <f t="shared" si="10"/>
        <v>7.9031302040701121E-4</v>
      </c>
      <c r="N244" s="38" t="s">
        <v>604</v>
      </c>
    </row>
    <row r="245" spans="2:14" ht="15" thickBot="1">
      <c r="B245" s="429" t="s">
        <v>605</v>
      </c>
      <c r="C245" s="430"/>
      <c r="D245" s="430"/>
      <c r="E245" s="430"/>
      <c r="F245" s="430"/>
      <c r="G245" s="430"/>
      <c r="H245" s="430"/>
      <c r="I245" s="431"/>
      <c r="J245" s="255">
        <f>SUM(J61:J244)</f>
        <v>35429</v>
      </c>
      <c r="K245" s="255">
        <f>SUM(K61:K244)</f>
        <v>22873</v>
      </c>
      <c r="L245" s="256">
        <f>SUM(L61:L244)</f>
        <v>3542900000</v>
      </c>
      <c r="M245" s="257">
        <f>SUM(M61:M244)</f>
        <v>0.99999999999999967</v>
      </c>
    </row>
    <row r="246" spans="2:14">
      <c r="B246" s="387"/>
      <c r="C246" s="375"/>
      <c r="D246" s="375"/>
      <c r="E246" s="387"/>
      <c r="F246" s="387"/>
      <c r="G246" s="387"/>
      <c r="H246" s="387"/>
      <c r="I246" s="387"/>
      <c r="J246" s="388"/>
      <c r="K246" s="388"/>
      <c r="L246" s="388"/>
      <c r="M246" s="389"/>
    </row>
    <row r="247" spans="2:14">
      <c r="B247" s="390"/>
      <c r="C247" s="264" t="s">
        <v>609</v>
      </c>
      <c r="D247" s="264" t="s">
        <v>6</v>
      </c>
      <c r="E247" s="264" t="s">
        <v>612</v>
      </c>
      <c r="F247" s="390"/>
      <c r="G247" s="390"/>
      <c r="H247" s="390"/>
      <c r="I247" s="390"/>
      <c r="J247" s="391"/>
      <c r="K247" s="391"/>
      <c r="L247" s="391"/>
      <c r="M247" s="392"/>
    </row>
    <row r="248" spans="2:14">
      <c r="B248" s="390"/>
      <c r="C248" s="393" t="s">
        <v>610</v>
      </c>
      <c r="D248" s="263">
        <f>+K245</f>
        <v>22873</v>
      </c>
      <c r="E248" s="394">
        <f>SUMIF(N:N,"Ordinaria",M:M)</f>
        <v>0.64560106127748418</v>
      </c>
      <c r="F248" s="390"/>
      <c r="G248" s="390"/>
      <c r="H248" s="390"/>
      <c r="I248" s="390"/>
      <c r="J248" s="391"/>
      <c r="K248" s="391"/>
      <c r="L248" s="391"/>
      <c r="M248" s="392"/>
    </row>
    <row r="249" spans="2:14">
      <c r="B249" s="390"/>
      <c r="C249" s="393" t="s">
        <v>611</v>
      </c>
      <c r="D249" s="395">
        <f>+J245-D248</f>
        <v>12556</v>
      </c>
      <c r="E249" s="394">
        <f>SUMIF(N:N,"Preferidas",M:M)</f>
        <v>0.35439893872251543</v>
      </c>
      <c r="F249" s="390"/>
      <c r="G249" s="390"/>
      <c r="H249" s="390"/>
      <c r="I249" s="390"/>
      <c r="J249" s="391"/>
      <c r="K249" s="391"/>
      <c r="L249" s="391"/>
      <c r="M249" s="392"/>
    </row>
    <row r="250" spans="2:14">
      <c r="B250" s="390"/>
      <c r="C250" s="396" t="s">
        <v>208</v>
      </c>
      <c r="D250" s="397">
        <f>SUM(D248:D249)</f>
        <v>35429</v>
      </c>
      <c r="E250" s="398">
        <f>SUM(E248:E249)</f>
        <v>0.99999999999999956</v>
      </c>
      <c r="F250" s="390"/>
      <c r="G250" s="390"/>
      <c r="H250" s="390"/>
      <c r="I250" s="390"/>
      <c r="J250" s="391"/>
      <c r="K250" s="391"/>
      <c r="L250" s="391"/>
      <c r="M250" s="392"/>
    </row>
    <row r="252" spans="2:14" ht="6.6" customHeight="1"/>
    <row r="253" spans="2:14">
      <c r="B253" s="174" t="s">
        <v>429</v>
      </c>
      <c r="C253" s="174" t="s">
        <v>430</v>
      </c>
      <c r="D253" s="174"/>
      <c r="E253" s="174"/>
      <c r="F253" s="174"/>
      <c r="G253" s="174"/>
      <c r="H253" s="174"/>
      <c r="I253" s="240"/>
      <c r="J253" s="239"/>
    </row>
    <row r="254" spans="2:14" ht="7.35" customHeight="1"/>
    <row r="255" spans="2:14">
      <c r="B255" s="421" t="s">
        <v>431</v>
      </c>
      <c r="C255" s="421"/>
      <c r="D255" s="175"/>
      <c r="E255" s="175"/>
      <c r="F255" s="175"/>
      <c r="G255" s="175"/>
      <c r="H255" s="175"/>
      <c r="I255" s="243"/>
    </row>
    <row r="256" spans="2:14">
      <c r="B256" s="421" t="s">
        <v>433</v>
      </c>
      <c r="C256" s="423"/>
      <c r="D256" s="175"/>
      <c r="E256" s="175"/>
      <c r="F256" s="175"/>
      <c r="G256" s="175"/>
      <c r="H256" s="175"/>
      <c r="I256" s="243"/>
    </row>
    <row r="257" spans="2:10">
      <c r="B257" s="421" t="s">
        <v>391</v>
      </c>
      <c r="C257" s="423"/>
      <c r="D257" s="399"/>
      <c r="E257" s="175"/>
      <c r="F257" s="175"/>
      <c r="G257" s="175"/>
      <c r="H257" s="175"/>
      <c r="I257" s="243"/>
    </row>
    <row r="258" spans="2:10">
      <c r="B258" s="421" t="s">
        <v>432</v>
      </c>
      <c r="C258" s="423"/>
      <c r="D258" s="175"/>
      <c r="E258" s="175"/>
      <c r="F258" s="175"/>
      <c r="G258" s="175"/>
      <c r="H258" s="175"/>
      <c r="I258" s="243"/>
    </row>
    <row r="259" spans="2:10">
      <c r="B259" s="421" t="s">
        <v>394</v>
      </c>
      <c r="C259" s="423"/>
      <c r="D259" s="175"/>
      <c r="E259" s="175"/>
      <c r="F259" s="175"/>
      <c r="G259" s="175"/>
      <c r="H259" s="175"/>
      <c r="I259" s="243"/>
    </row>
    <row r="261" spans="2:10">
      <c r="B261" s="174" t="s">
        <v>434</v>
      </c>
      <c r="C261" s="174" t="s">
        <v>435</v>
      </c>
      <c r="D261" s="174"/>
      <c r="E261" s="174"/>
      <c r="F261" s="174"/>
      <c r="G261" s="174"/>
      <c r="H261" s="174"/>
      <c r="I261" s="240"/>
      <c r="J261" s="239"/>
    </row>
    <row r="262" spans="2:10" ht="9" customHeight="1"/>
    <row r="263" spans="2:10">
      <c r="B263" s="432" t="s">
        <v>379</v>
      </c>
      <c r="C263" s="432"/>
      <c r="D263" s="432" t="s">
        <v>380</v>
      </c>
      <c r="E263" s="432"/>
      <c r="F263" s="432"/>
      <c r="G263" s="432"/>
      <c r="H263" s="432"/>
    </row>
    <row r="264" spans="2:10">
      <c r="B264" s="433" t="s">
        <v>467</v>
      </c>
      <c r="C264" s="433"/>
      <c r="D264" s="433" t="s">
        <v>3</v>
      </c>
      <c r="E264" s="433"/>
      <c r="F264" s="433"/>
      <c r="G264" s="433"/>
      <c r="H264" s="433"/>
    </row>
    <row r="265" spans="2:10">
      <c r="B265" s="433" t="s">
        <v>468</v>
      </c>
      <c r="C265" s="433"/>
      <c r="D265" s="433" t="s">
        <v>4</v>
      </c>
      <c r="E265" s="433"/>
      <c r="F265" s="433"/>
      <c r="G265" s="433"/>
      <c r="H265" s="433"/>
    </row>
    <row r="266" spans="2:10">
      <c r="B266" s="433" t="s">
        <v>469</v>
      </c>
      <c r="C266" s="433"/>
      <c r="D266" s="433" t="s">
        <v>436</v>
      </c>
      <c r="E266" s="433"/>
      <c r="F266" s="433"/>
      <c r="G266" s="433"/>
      <c r="H266" s="433"/>
    </row>
    <row r="267" spans="2:10">
      <c r="B267" s="433" t="s">
        <v>474</v>
      </c>
      <c r="C267" s="433"/>
      <c r="D267" s="433" t="s">
        <v>378</v>
      </c>
      <c r="E267" s="433"/>
      <c r="F267" s="433"/>
      <c r="G267" s="433"/>
      <c r="H267" s="433"/>
    </row>
    <row r="268" spans="2:10">
      <c r="B268" s="422" t="s">
        <v>506</v>
      </c>
      <c r="C268" s="422"/>
      <c r="D268" s="208" t="s">
        <v>427</v>
      </c>
      <c r="E268" s="208"/>
      <c r="F268" s="208"/>
      <c r="G268" s="208"/>
      <c r="H268" s="208"/>
    </row>
  </sheetData>
  <mergeCells count="82">
    <mergeCell ref="B268:C268"/>
    <mergeCell ref="B265:C265"/>
    <mergeCell ref="D265:H265"/>
    <mergeCell ref="B266:C266"/>
    <mergeCell ref="D266:H266"/>
    <mergeCell ref="B267:C267"/>
    <mergeCell ref="D267:H267"/>
    <mergeCell ref="K20:K23"/>
    <mergeCell ref="B245:I245"/>
    <mergeCell ref="B263:C263"/>
    <mergeCell ref="D263:H263"/>
    <mergeCell ref="B264:C264"/>
    <mergeCell ref="D264:H264"/>
    <mergeCell ref="C223:C227"/>
    <mergeCell ref="B223:B227"/>
    <mergeCell ref="B229:B230"/>
    <mergeCell ref="C229:C230"/>
    <mergeCell ref="C231:C232"/>
    <mergeCell ref="B231:B232"/>
    <mergeCell ref="C198:C222"/>
    <mergeCell ref="B198:B222"/>
    <mergeCell ref="B74:B76"/>
    <mergeCell ref="C74:C76"/>
    <mergeCell ref="C172:C189"/>
    <mergeCell ref="B172:B189"/>
    <mergeCell ref="B56:C56"/>
    <mergeCell ref="B61:B63"/>
    <mergeCell ref="C61:C63"/>
    <mergeCell ref="B64:B73"/>
    <mergeCell ref="C64:C73"/>
    <mergeCell ref="B77:B81"/>
    <mergeCell ref="C77:C81"/>
    <mergeCell ref="C82:C126"/>
    <mergeCell ref="B82:B126"/>
    <mergeCell ref="B133:B157"/>
    <mergeCell ref="B158:B163"/>
    <mergeCell ref="C158:C163"/>
    <mergeCell ref="B22:J22"/>
    <mergeCell ref="B23:J23"/>
    <mergeCell ref="B24:J27"/>
    <mergeCell ref="B49:J52"/>
    <mergeCell ref="D43:I43"/>
    <mergeCell ref="B40:C40"/>
    <mergeCell ref="D40:H40"/>
    <mergeCell ref="B44:C44"/>
    <mergeCell ref="B45:C45"/>
    <mergeCell ref="B43:C43"/>
    <mergeCell ref="D44:I44"/>
    <mergeCell ref="B36:C36"/>
    <mergeCell ref="D39:H39"/>
    <mergeCell ref="B259:C259"/>
    <mergeCell ref="B255:C255"/>
    <mergeCell ref="B256:C256"/>
    <mergeCell ref="B257:C257"/>
    <mergeCell ref="B37:C37"/>
    <mergeCell ref="B39:C39"/>
    <mergeCell ref="B55:C55"/>
    <mergeCell ref="B46:C46"/>
    <mergeCell ref="B164:B171"/>
    <mergeCell ref="C164:C171"/>
    <mergeCell ref="B258:C258"/>
    <mergeCell ref="C190:C197"/>
    <mergeCell ref="B190:B197"/>
    <mergeCell ref="C127:C132"/>
    <mergeCell ref="B127:B132"/>
    <mergeCell ref="C133:C157"/>
    <mergeCell ref="B54:C54"/>
    <mergeCell ref="B3:J3"/>
    <mergeCell ref="B4:J4"/>
    <mergeCell ref="D33:I33"/>
    <mergeCell ref="D34:I34"/>
    <mergeCell ref="D35:I35"/>
    <mergeCell ref="B20:J20"/>
    <mergeCell ref="B21:J21"/>
    <mergeCell ref="C28:I28"/>
    <mergeCell ref="B53:C53"/>
    <mergeCell ref="B31:C31"/>
    <mergeCell ref="B33:C33"/>
    <mergeCell ref="B32:D32"/>
    <mergeCell ref="B42:C42"/>
    <mergeCell ref="B34:C34"/>
    <mergeCell ref="B35:C35"/>
  </mergeCells>
  <pageMargins left="0.70866141732283472" right="0.70866141732283472" top="1.7322834645669292" bottom="0.74803149606299213" header="0.31496062992125984" footer="0.31496062992125984"/>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3:I67"/>
  <sheetViews>
    <sheetView showGridLines="0" tabSelected="1" zoomScale="102" zoomScaleNormal="102" workbookViewId="0">
      <selection activeCell="F54" sqref="F54"/>
    </sheetView>
  </sheetViews>
  <sheetFormatPr baseColWidth="10" defaultColWidth="10.6640625" defaultRowHeight="14.4"/>
  <cols>
    <col min="2" max="2" width="40.33203125" customWidth="1"/>
    <col min="3" max="3" width="14.6640625" style="32" customWidth="1"/>
    <col min="4" max="4" width="12.33203125" style="31" bestFit="1" customWidth="1"/>
    <col min="5" max="5" width="41.44140625" style="31" bestFit="1" customWidth="1"/>
    <col min="6" max="6" width="17.44140625" style="31" bestFit="1" customWidth="1"/>
    <col min="7" max="7" width="13.44140625" style="31" customWidth="1"/>
    <col min="8" max="8" width="15.33203125" bestFit="1" customWidth="1"/>
  </cols>
  <sheetData>
    <row r="3" spans="2:7">
      <c r="B3" s="49"/>
    </row>
    <row r="4" spans="2:7">
      <c r="B4" s="435" t="s">
        <v>728</v>
      </c>
      <c r="C4" s="435"/>
      <c r="D4" s="435"/>
      <c r="E4" s="435"/>
      <c r="F4" s="435"/>
      <c r="G4" s="435"/>
    </row>
    <row r="5" spans="2:7">
      <c r="B5" s="435"/>
      <c r="C5" s="435"/>
      <c r="D5" s="435"/>
      <c r="E5" s="435"/>
      <c r="F5" s="435"/>
      <c r="G5" s="435"/>
    </row>
    <row r="6" spans="2:7">
      <c r="B6" s="435"/>
      <c r="C6" s="435"/>
      <c r="D6" s="435"/>
      <c r="E6" s="435"/>
      <c r="F6" s="435"/>
      <c r="G6" s="435"/>
    </row>
    <row r="7" spans="2:7" ht="15" thickBot="1"/>
    <row r="8" spans="2:7" ht="15" customHeight="1">
      <c r="B8" s="436" t="s">
        <v>7</v>
      </c>
      <c r="C8" s="438" t="s">
        <v>47</v>
      </c>
      <c r="D8" s="436" t="s">
        <v>343</v>
      </c>
      <c r="E8" s="436" t="s">
        <v>9</v>
      </c>
      <c r="F8" s="436" t="s">
        <v>8</v>
      </c>
      <c r="G8" s="436" t="s">
        <v>343</v>
      </c>
    </row>
    <row r="9" spans="2:7" ht="15" thickBot="1">
      <c r="B9" s="437"/>
      <c r="C9" s="439"/>
      <c r="D9" s="437"/>
      <c r="E9" s="437"/>
      <c r="F9" s="437"/>
      <c r="G9" s="437"/>
    </row>
    <row r="10" spans="2:7">
      <c r="B10" s="319" t="s">
        <v>10</v>
      </c>
      <c r="C10" s="320"/>
      <c r="D10" s="139"/>
      <c r="E10" s="321" t="s">
        <v>703</v>
      </c>
      <c r="F10" s="139"/>
      <c r="G10" s="139"/>
    </row>
    <row r="11" spans="2:7">
      <c r="B11" s="322" t="s">
        <v>44</v>
      </c>
      <c r="C11" s="323">
        <f>+SUM(C12:C14)</f>
        <v>666202339</v>
      </c>
      <c r="D11" s="140">
        <f>+SUM(D12:D14)</f>
        <v>350053865</v>
      </c>
      <c r="E11" s="324" t="s">
        <v>16</v>
      </c>
      <c r="F11" s="140">
        <f>+SUM(F12:F14)</f>
        <v>105416041.15799999</v>
      </c>
      <c r="G11" s="140">
        <f>+SUM(G12:G14)</f>
        <v>111777839</v>
      </c>
    </row>
    <row r="12" spans="2:7">
      <c r="B12" s="325" t="s">
        <v>11</v>
      </c>
      <c r="C12" s="141">
        <v>0</v>
      </c>
      <c r="D12" s="141">
        <v>0</v>
      </c>
      <c r="E12" s="326" t="s">
        <v>329</v>
      </c>
      <c r="F12" s="141">
        <f>+'Anexo 5i-5m'!C95</f>
        <v>94640040</v>
      </c>
      <c r="G12" s="141">
        <f>+'Anexo 5i-5m'!D95</f>
        <v>83088456</v>
      </c>
    </row>
    <row r="13" spans="2:7">
      <c r="B13" s="325" t="s">
        <v>12</v>
      </c>
      <c r="C13" s="141">
        <f>+'Anexo 5d-5h'!C22</f>
        <v>666202339</v>
      </c>
      <c r="D13" s="141">
        <f>+'Anexo 5d-5h'!D22</f>
        <v>350053865</v>
      </c>
      <c r="E13" s="326" t="s">
        <v>323</v>
      </c>
      <c r="F13" s="141">
        <f>+'Anexo 5i-5m'!C90</f>
        <v>10776001.158</v>
      </c>
      <c r="G13" s="141">
        <f>+'Anexo 5i-5m'!D90</f>
        <v>24689383</v>
      </c>
    </row>
    <row r="14" spans="2:7" ht="15" customHeight="1">
      <c r="B14" s="325"/>
      <c r="C14" s="141"/>
      <c r="D14" s="142"/>
      <c r="E14" s="326" t="s">
        <v>675</v>
      </c>
      <c r="F14" s="303">
        <f>+'Anexo 5n-5r'!C18</f>
        <v>0</v>
      </c>
      <c r="G14" s="303">
        <f>+'Anexo 5n-5r'!D18</f>
        <v>4000000</v>
      </c>
    </row>
    <row r="15" spans="2:7">
      <c r="B15" s="322" t="s">
        <v>15</v>
      </c>
      <c r="C15" s="323">
        <f>+SUM(C16:C17)</f>
        <v>549349493</v>
      </c>
      <c r="D15" s="140">
        <f>+SUM(D16:D17)</f>
        <v>1159560191</v>
      </c>
      <c r="E15" s="145"/>
      <c r="F15" s="142"/>
      <c r="G15" s="142"/>
    </row>
    <row r="16" spans="2:7">
      <c r="B16" s="325" t="s">
        <v>13</v>
      </c>
      <c r="C16" s="141">
        <v>277468552</v>
      </c>
      <c r="D16" s="141">
        <v>132560000</v>
      </c>
      <c r="E16" s="324" t="s">
        <v>17</v>
      </c>
      <c r="F16" s="140">
        <f>+SUM(F17:F18)</f>
        <v>201726027</v>
      </c>
      <c r="G16" s="140">
        <f>+SUM(G17:G18)</f>
        <v>149953933</v>
      </c>
    </row>
    <row r="17" spans="2:7">
      <c r="B17" s="325" t="s">
        <v>14</v>
      </c>
      <c r="C17" s="141">
        <v>271880941</v>
      </c>
      <c r="D17" s="141">
        <v>1027000191</v>
      </c>
      <c r="E17" s="326" t="s">
        <v>694</v>
      </c>
      <c r="F17" s="141">
        <f>+'Anexo 5i-5m'!C42</f>
        <v>200000000</v>
      </c>
      <c r="G17" s="141">
        <f>+'Anexo 5i-5m'!D42</f>
        <v>123076920</v>
      </c>
    </row>
    <row r="18" spans="2:7">
      <c r="B18" s="145"/>
      <c r="C18" s="142"/>
      <c r="D18" s="142"/>
      <c r="E18" s="326" t="s">
        <v>18</v>
      </c>
      <c r="F18" s="141">
        <f>+'Anexo 5i-5m'!C47</f>
        <v>1726027</v>
      </c>
      <c r="G18" s="141">
        <f>+'Anexo 5i-5m'!D47</f>
        <v>26877013</v>
      </c>
    </row>
    <row r="19" spans="2:7">
      <c r="B19" s="322" t="s">
        <v>19</v>
      </c>
      <c r="C19" s="323">
        <f>+SUM(C20:C22)</f>
        <v>523042467.18479997</v>
      </c>
      <c r="D19" s="323">
        <f>+SUM(D20:D22)</f>
        <v>551785026</v>
      </c>
      <c r="E19" s="145"/>
      <c r="F19" s="142"/>
      <c r="G19" s="142"/>
    </row>
    <row r="20" spans="2:7">
      <c r="B20" s="325" t="s">
        <v>20</v>
      </c>
      <c r="C20" s="141">
        <f>+'Anexo 5d-5h'!C85</f>
        <v>447967376.18479997</v>
      </c>
      <c r="D20" s="141">
        <f>+'Anexo 5d-5h'!D85</f>
        <v>480118276</v>
      </c>
      <c r="E20" s="324" t="s">
        <v>23</v>
      </c>
      <c r="F20" s="140">
        <f>+SUM(F21:F24)</f>
        <v>5043956</v>
      </c>
      <c r="G20" s="140">
        <f>+SUM(G21:G24)</f>
        <v>5043956</v>
      </c>
    </row>
    <row r="21" spans="2:7">
      <c r="B21" s="325" t="s">
        <v>21</v>
      </c>
      <c r="C21" s="141">
        <f>+'Anexo 5d-5h'!C50</f>
        <v>0</v>
      </c>
      <c r="D21" s="141">
        <f>+'Anexo 5d-5h'!D50</f>
        <v>0</v>
      </c>
      <c r="E21" s="326" t="s">
        <v>24</v>
      </c>
      <c r="F21" s="141">
        <v>0</v>
      </c>
      <c r="G21" s="141">
        <v>0</v>
      </c>
    </row>
    <row r="22" spans="2:7">
      <c r="B22" s="325" t="s">
        <v>22</v>
      </c>
      <c r="C22" s="141">
        <f>+'Anexo 5d-5h'!C57</f>
        <v>75075091</v>
      </c>
      <c r="D22" s="141">
        <f>+'Anexo 5d-5h'!D57</f>
        <v>71666750</v>
      </c>
      <c r="E22" s="326" t="s">
        <v>25</v>
      </c>
      <c r="F22" s="141">
        <v>5043956</v>
      </c>
      <c r="G22" s="141">
        <v>5043956</v>
      </c>
    </row>
    <row r="23" spans="2:7">
      <c r="B23" s="325"/>
      <c r="C23" s="329"/>
      <c r="D23" s="145"/>
      <c r="E23" s="326" t="s">
        <v>26</v>
      </c>
      <c r="F23" s="141">
        <v>0</v>
      </c>
      <c r="G23" s="141">
        <v>0</v>
      </c>
    </row>
    <row r="24" spans="2:7">
      <c r="B24" s="322" t="s">
        <v>692</v>
      </c>
      <c r="C24" s="323">
        <f>+C25</f>
        <v>208590381</v>
      </c>
      <c r="D24" s="140">
        <f>+D25</f>
        <v>174601504</v>
      </c>
      <c r="E24" s="326"/>
      <c r="F24" s="142"/>
      <c r="G24" s="142"/>
    </row>
    <row r="25" spans="2:7">
      <c r="B25" s="325" t="s">
        <v>27</v>
      </c>
      <c r="C25" s="141">
        <f>+'Anexo 5i-5m'!C27</f>
        <v>208590381</v>
      </c>
      <c r="D25" s="141">
        <f>+'Anexo 5i-5m'!D27</f>
        <v>174601504</v>
      </c>
      <c r="E25" s="324" t="s">
        <v>28</v>
      </c>
      <c r="F25" s="140">
        <f>+SUM(F26:F28)</f>
        <v>12601402</v>
      </c>
      <c r="G25" s="140">
        <f>+SUM(G26:G28)</f>
        <v>13682397</v>
      </c>
    </row>
    <row r="26" spans="2:7">
      <c r="B26" s="322"/>
      <c r="C26" s="329"/>
      <c r="D26" s="145"/>
      <c r="E26" s="326" t="s">
        <v>29</v>
      </c>
      <c r="F26" s="141">
        <f>+'Anexo 5n-5r'!C32</f>
        <v>0</v>
      </c>
      <c r="G26" s="141">
        <f>+'Anexo 5n-5r'!D32</f>
        <v>11121674</v>
      </c>
    </row>
    <row r="27" spans="2:7">
      <c r="B27" s="322"/>
      <c r="C27" s="329"/>
      <c r="D27" s="145"/>
      <c r="E27" s="326" t="s">
        <v>30</v>
      </c>
      <c r="F27" s="141">
        <f>+'Anexo 5n-5r'!C44</f>
        <v>12601402</v>
      </c>
      <c r="G27" s="141">
        <f>+'Anexo 5n-5r'!D44</f>
        <v>2560723</v>
      </c>
    </row>
    <row r="28" spans="2:7">
      <c r="B28" s="322"/>
      <c r="C28" s="329"/>
      <c r="D28" s="145"/>
      <c r="E28" s="326"/>
      <c r="F28" s="141"/>
      <c r="G28" s="142"/>
    </row>
    <row r="29" spans="2:7">
      <c r="B29" s="322" t="s">
        <v>31</v>
      </c>
      <c r="C29" s="140">
        <f>+C25+C19+C15+C11</f>
        <v>1947184680.1847999</v>
      </c>
      <c r="D29" s="140">
        <f>+D25+D19+D15+D11</f>
        <v>2236000586</v>
      </c>
      <c r="E29" s="324" t="s">
        <v>32</v>
      </c>
      <c r="F29" s="140">
        <f>+F11+F16+F20+F25</f>
        <v>324787426.15799999</v>
      </c>
      <c r="G29" s="140">
        <f>+G11+G16+G20+G25</f>
        <v>280458125</v>
      </c>
    </row>
    <row r="30" spans="2:7">
      <c r="B30" s="325"/>
      <c r="C30" s="327"/>
      <c r="D30" s="326"/>
      <c r="E30" s="325"/>
      <c r="F30" s="142"/>
      <c r="G30" s="142"/>
    </row>
    <row r="31" spans="2:7">
      <c r="B31" s="322" t="s">
        <v>33</v>
      </c>
      <c r="C31" s="141"/>
      <c r="D31" s="142"/>
      <c r="E31" s="322" t="s">
        <v>693</v>
      </c>
      <c r="F31" s="279"/>
      <c r="G31" s="142"/>
    </row>
    <row r="32" spans="2:7">
      <c r="B32" s="322" t="s">
        <v>690</v>
      </c>
      <c r="C32" s="140">
        <f>+SUM(C33:C36)</f>
        <v>1005516019</v>
      </c>
      <c r="D32" s="140">
        <f>+SUM(D33:D36)</f>
        <v>913442243</v>
      </c>
      <c r="E32" s="324" t="s">
        <v>17</v>
      </c>
      <c r="F32" s="140">
        <f>+F33</f>
        <v>0</v>
      </c>
      <c r="G32" s="140">
        <f>+G33</f>
        <v>76923080</v>
      </c>
    </row>
    <row r="33" spans="2:8">
      <c r="B33" s="330" t="s">
        <v>688</v>
      </c>
      <c r="C33" s="141">
        <v>0</v>
      </c>
      <c r="D33" s="141">
        <v>10827916</v>
      </c>
      <c r="E33" s="326" t="s">
        <v>694</v>
      </c>
      <c r="F33" s="141">
        <f>+'Anexo 5i-5m'!C57</f>
        <v>0</v>
      </c>
      <c r="G33" s="141">
        <f>+'Anexo 5i-5m'!D57</f>
        <v>76923080</v>
      </c>
    </row>
    <row r="34" spans="2:8">
      <c r="B34" s="330" t="s">
        <v>689</v>
      </c>
      <c r="C34" s="141">
        <v>3516019</v>
      </c>
      <c r="D34" s="141">
        <v>2614327</v>
      </c>
      <c r="E34" s="326"/>
      <c r="F34" s="141"/>
      <c r="G34" s="141"/>
    </row>
    <row r="35" spans="2:8">
      <c r="B35" s="325" t="s">
        <v>691</v>
      </c>
      <c r="C35" s="141">
        <v>1002000000</v>
      </c>
      <c r="D35" s="141">
        <v>900000000</v>
      </c>
      <c r="E35" s="326" t="s">
        <v>326</v>
      </c>
      <c r="F35" s="143">
        <f>+'Anexo 5n-5r'!C10</f>
        <v>18400062</v>
      </c>
      <c r="G35" s="143">
        <f>+'Anexo 5n-5r'!D10</f>
        <v>158532110.00000003</v>
      </c>
    </row>
    <row r="36" spans="2:8" ht="18.75" customHeight="1">
      <c r="B36" s="325" t="s">
        <v>34</v>
      </c>
      <c r="C36" s="141">
        <v>0</v>
      </c>
      <c r="D36" s="141">
        <v>0</v>
      </c>
      <c r="E36" s="326"/>
      <c r="F36" s="145"/>
      <c r="G36" s="145"/>
    </row>
    <row r="37" spans="2:8">
      <c r="B37" s="328"/>
      <c r="C37" s="329"/>
      <c r="D37" s="145"/>
      <c r="E37" s="324" t="s">
        <v>35</v>
      </c>
      <c r="F37" s="338">
        <f>+F32+F35</f>
        <v>18400062</v>
      </c>
      <c r="G37" s="338">
        <f>+G32+G35</f>
        <v>235455190.00000003</v>
      </c>
    </row>
    <row r="38" spans="2:8">
      <c r="B38" s="322" t="s">
        <v>687</v>
      </c>
      <c r="C38" s="329"/>
      <c r="D38" s="145"/>
      <c r="E38" s="324"/>
      <c r="F38" s="141"/>
      <c r="G38" s="141"/>
    </row>
    <row r="39" spans="2:8">
      <c r="B39" s="325"/>
      <c r="C39" s="329"/>
      <c r="D39" s="145"/>
      <c r="E39" s="324"/>
      <c r="F39" s="142"/>
      <c r="G39" s="142"/>
    </row>
    <row r="40" spans="2:8">
      <c r="B40" s="322" t="s">
        <v>700</v>
      </c>
      <c r="C40" s="141">
        <f>+'Anexo 5d-5h'!G98</f>
        <v>257852352</v>
      </c>
      <c r="D40" s="141">
        <f>+'Anexo 5d-5h'!G99</f>
        <v>238473715</v>
      </c>
      <c r="E40" s="324" t="s">
        <v>37</v>
      </c>
      <c r="F40" s="140">
        <f>+F29+F37</f>
        <v>343187488.15799999</v>
      </c>
      <c r="G40" s="140">
        <f>+G29+G37</f>
        <v>515913315</v>
      </c>
    </row>
    <row r="41" spans="2:8">
      <c r="B41" s="325" t="s">
        <v>36</v>
      </c>
      <c r="C41" s="141">
        <f>-'Anexo 5d-5h'!L98</f>
        <v>-223039610.81349316</v>
      </c>
      <c r="D41" s="141">
        <f>-'Anexo 5d-5h'!L99</f>
        <v>-212023375.22468257</v>
      </c>
      <c r="E41" s="324"/>
      <c r="F41" s="144"/>
      <c r="G41" s="144"/>
    </row>
    <row r="42" spans="2:8">
      <c r="B42" s="325"/>
      <c r="C42" s="329"/>
      <c r="D42" s="145"/>
      <c r="E42" s="324" t="s">
        <v>38</v>
      </c>
      <c r="F42" s="140"/>
      <c r="G42" s="140"/>
    </row>
    <row r="43" spans="2:8" s="49" customFormat="1">
      <c r="B43" s="325"/>
      <c r="C43" s="329"/>
      <c r="D43" s="145"/>
      <c r="E43" s="326" t="s">
        <v>41</v>
      </c>
      <c r="F43" s="141">
        <v>3542900000</v>
      </c>
      <c r="G43" s="141">
        <v>3332300000</v>
      </c>
    </row>
    <row r="44" spans="2:8">
      <c r="B44" s="339" t="s">
        <v>702</v>
      </c>
      <c r="C44" s="140">
        <f>+'Anexo 5i-5m'!F9</f>
        <v>88348481</v>
      </c>
      <c r="D44" s="140">
        <f>+'Anexo 5i-5m'!F10</f>
        <v>67666664</v>
      </c>
      <c r="E44" s="326" t="s">
        <v>701</v>
      </c>
      <c r="F44" s="141">
        <v>9900298</v>
      </c>
      <c r="G44" s="141">
        <v>9484301</v>
      </c>
    </row>
    <row r="45" spans="2:8" s="49" customFormat="1">
      <c r="B45" s="339"/>
      <c r="C45" s="141"/>
      <c r="D45" s="142"/>
      <c r="E45" s="326" t="s">
        <v>377</v>
      </c>
      <c r="F45" s="141">
        <v>14010438</v>
      </c>
      <c r="G45" s="141">
        <v>7000000</v>
      </c>
      <c r="H45" s="13"/>
    </row>
    <row r="46" spans="2:8" s="49" customFormat="1">
      <c r="B46" s="339" t="s">
        <v>632</v>
      </c>
      <c r="C46" s="140">
        <f>+C47</f>
        <v>311618073</v>
      </c>
      <c r="D46" s="140">
        <f>+D47</f>
        <v>311618073</v>
      </c>
      <c r="E46" s="326" t="s">
        <v>657</v>
      </c>
      <c r="F46" s="141">
        <v>802000000</v>
      </c>
      <c r="G46" s="141">
        <v>700000000</v>
      </c>
      <c r="H46" s="13"/>
    </row>
    <row r="47" spans="2:8" s="49" customFormat="1">
      <c r="B47" s="340" t="s">
        <v>704</v>
      </c>
      <c r="C47" s="141">
        <f>+'Anexo 5i-5m'!C34</f>
        <v>311618073</v>
      </c>
      <c r="D47" s="141">
        <f>+'Anexo 5i-5m'!D34</f>
        <v>311618073</v>
      </c>
      <c r="E47" s="324" t="s">
        <v>376</v>
      </c>
      <c r="F47" s="140">
        <f>+F48+F49+F50</f>
        <v>169632239</v>
      </c>
      <c r="G47" s="140">
        <f>+G48+G49+G50</f>
        <v>169574314</v>
      </c>
    </row>
    <row r="48" spans="2:8">
      <c r="B48" s="341"/>
      <c r="C48" s="141"/>
      <c r="D48" s="142"/>
      <c r="E48" s="326" t="s">
        <v>139</v>
      </c>
      <c r="F48" s="141">
        <v>110118857</v>
      </c>
      <c r="G48" s="141">
        <v>101070434</v>
      </c>
    </row>
    <row r="49" spans="2:9">
      <c r="B49" s="325"/>
      <c r="C49" s="141"/>
      <c r="D49" s="141"/>
      <c r="E49" s="326" t="s">
        <v>42</v>
      </c>
      <c r="F49" s="141">
        <v>48671580</v>
      </c>
      <c r="G49" s="141">
        <v>57662078</v>
      </c>
    </row>
    <row r="50" spans="2:9">
      <c r="B50" s="325"/>
      <c r="C50" s="141"/>
      <c r="D50" s="141"/>
      <c r="E50" s="326" t="s">
        <v>347</v>
      </c>
      <c r="F50" s="141">
        <v>10841802</v>
      </c>
      <c r="G50" s="141">
        <v>10841802</v>
      </c>
    </row>
    <row r="51" spans="2:9" s="49" customFormat="1">
      <c r="B51" s="325"/>
      <c r="C51" s="141"/>
      <c r="D51" s="141"/>
      <c r="E51" s="326"/>
      <c r="F51" s="140">
        <f>+F52+F53</f>
        <v>-1494150469</v>
      </c>
      <c r="G51" s="140">
        <f>+G52+G53</f>
        <v>-1179094024</v>
      </c>
    </row>
    <row r="52" spans="2:9">
      <c r="B52" s="325"/>
      <c r="C52" s="141"/>
      <c r="D52" s="141"/>
      <c r="E52" s="326" t="s">
        <v>258</v>
      </c>
      <c r="F52" s="141">
        <v>-1356310837</v>
      </c>
      <c r="G52" s="141">
        <v>-1402200261</v>
      </c>
      <c r="H52" s="13"/>
    </row>
    <row r="53" spans="2:9">
      <c r="B53" s="325"/>
      <c r="C53" s="141"/>
      <c r="D53" s="141"/>
      <c r="E53" s="326" t="s">
        <v>348</v>
      </c>
      <c r="F53" s="141">
        <f>-148133651+10294019</f>
        <v>-137839632</v>
      </c>
      <c r="G53" s="141">
        <v>223106237</v>
      </c>
      <c r="H53" s="13"/>
    </row>
    <row r="54" spans="2:9">
      <c r="B54" s="325"/>
      <c r="C54" s="141"/>
      <c r="D54" s="142"/>
      <c r="E54" s="145"/>
      <c r="F54" s="145"/>
      <c r="G54" s="145"/>
      <c r="H54" s="22"/>
    </row>
    <row r="55" spans="2:9" ht="15" thickBot="1">
      <c r="B55" s="322" t="s">
        <v>40</v>
      </c>
      <c r="C55" s="140">
        <f>+C32+C40+C41+C44+C46</f>
        <v>1440295314.1865067</v>
      </c>
      <c r="D55" s="140">
        <f>+D32+D40+D41+D44+D46</f>
        <v>1319177319.7753174</v>
      </c>
      <c r="E55" s="324" t="s">
        <v>318</v>
      </c>
      <c r="F55" s="342">
        <f>+F51+F47+F46+F45+F44+F43</f>
        <v>3044292506</v>
      </c>
      <c r="G55" s="342">
        <f>+G51+G47+G46+G45+G44+G43</f>
        <v>3039264591</v>
      </c>
      <c r="H55" s="22"/>
    </row>
    <row r="56" spans="2:9">
      <c r="B56" s="446" t="s">
        <v>45</v>
      </c>
      <c r="C56" s="448">
        <f>+C29+C55</f>
        <v>3387479994.3713064</v>
      </c>
      <c r="D56" s="448">
        <f>+D29+D55</f>
        <v>3555177905.7753172</v>
      </c>
      <c r="E56" s="450" t="s">
        <v>43</v>
      </c>
      <c r="F56" s="452">
        <f>+F40+F55</f>
        <v>3387479994.158</v>
      </c>
      <c r="G56" s="452">
        <f>+G40+G55</f>
        <v>3555177906</v>
      </c>
      <c r="H56" s="13"/>
    </row>
    <row r="57" spans="2:9" ht="15" thickBot="1">
      <c r="B57" s="447"/>
      <c r="C57" s="449"/>
      <c r="D57" s="449"/>
      <c r="E57" s="451"/>
      <c r="F57" s="453"/>
      <c r="G57" s="453"/>
      <c r="H57" s="13"/>
      <c r="I57" s="13"/>
    </row>
    <row r="58" spans="2:9">
      <c r="F58" s="32"/>
    </row>
    <row r="59" spans="2:9" ht="15" thickBot="1">
      <c r="H59" s="13"/>
    </row>
    <row r="60" spans="2:9" ht="15" customHeight="1">
      <c r="B60" s="454"/>
      <c r="C60" s="456" t="s">
        <v>8</v>
      </c>
      <c r="D60" s="442" t="s">
        <v>46</v>
      </c>
      <c r="E60" s="440"/>
      <c r="F60" s="442" t="s">
        <v>8</v>
      </c>
      <c r="G60" s="444" t="s">
        <v>46</v>
      </c>
    </row>
    <row r="61" spans="2:9">
      <c r="B61" s="455"/>
      <c r="C61" s="457"/>
      <c r="D61" s="443"/>
      <c r="E61" s="441"/>
      <c r="F61" s="443"/>
      <c r="G61" s="445"/>
    </row>
    <row r="62" spans="2:9">
      <c r="B62" s="366" t="s">
        <v>330</v>
      </c>
      <c r="C62" s="155">
        <f>SUM(C63:C64)</f>
        <v>0</v>
      </c>
      <c r="D62" s="155">
        <f>SUM(D63:D64)</f>
        <v>1290385524</v>
      </c>
      <c r="E62" s="33" t="s">
        <v>331</v>
      </c>
      <c r="F62" s="155">
        <f>SUM(F63:F64)</f>
        <v>0</v>
      </c>
      <c r="G62" s="155">
        <f>SUM(G63:G64)</f>
        <v>1290375524</v>
      </c>
    </row>
    <row r="63" spans="2:9" s="49" customFormat="1">
      <c r="B63" s="367" t="s">
        <v>751</v>
      </c>
      <c r="C63" s="368">
        <v>0</v>
      </c>
      <c r="D63" s="368">
        <v>1524424</v>
      </c>
      <c r="E63" s="369" t="s">
        <v>659</v>
      </c>
      <c r="F63" s="155">
        <v>0</v>
      </c>
      <c r="G63" s="155">
        <v>0</v>
      </c>
    </row>
    <row r="64" spans="2:9" s="49" customFormat="1">
      <c r="B64" s="367" t="s">
        <v>750</v>
      </c>
      <c r="C64" s="368">
        <v>0</v>
      </c>
      <c r="D64" s="368">
        <v>1288861100</v>
      </c>
      <c r="E64" s="369" t="s">
        <v>660</v>
      </c>
      <c r="F64" s="155">
        <v>0</v>
      </c>
      <c r="G64" s="155">
        <v>1290375524</v>
      </c>
    </row>
    <row r="67" spans="2:8">
      <c r="B67" s="458" t="s">
        <v>385</v>
      </c>
      <c r="C67" s="458"/>
      <c r="D67" s="458"/>
      <c r="E67" s="458"/>
      <c r="F67" s="458"/>
      <c r="G67" s="458"/>
      <c r="H67" s="189"/>
    </row>
  </sheetData>
  <mergeCells count="20">
    <mergeCell ref="B67:G67"/>
    <mergeCell ref="D8:D9"/>
    <mergeCell ref="E8:E9"/>
    <mergeCell ref="F8:F9"/>
    <mergeCell ref="G8:G9"/>
    <mergeCell ref="B4:G6"/>
    <mergeCell ref="B8:B9"/>
    <mergeCell ref="C8:C9"/>
    <mergeCell ref="E60:E61"/>
    <mergeCell ref="F60:F61"/>
    <mergeCell ref="G60:G61"/>
    <mergeCell ref="B56:B57"/>
    <mergeCell ref="C56:C57"/>
    <mergeCell ref="D56:D57"/>
    <mergeCell ref="E56:E57"/>
    <mergeCell ref="F56:F57"/>
    <mergeCell ref="G56:G57"/>
    <mergeCell ref="B60:B61"/>
    <mergeCell ref="C60:C61"/>
    <mergeCell ref="D60:D61"/>
  </mergeCells>
  <pageMargins left="0.70866141732283472" right="0.70866141732283472" top="0.74803149606299213" bottom="0.74803149606299213"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4:G50"/>
  <sheetViews>
    <sheetView showGridLines="0" topLeftCell="A23" zoomScale="102" zoomScaleNormal="102" workbookViewId="0">
      <selection activeCell="C48" sqref="C48"/>
    </sheetView>
  </sheetViews>
  <sheetFormatPr baseColWidth="10" defaultColWidth="10.6640625" defaultRowHeight="14.4"/>
  <cols>
    <col min="2" max="2" width="47" bestFit="1" customWidth="1"/>
    <col min="3" max="3" width="16.6640625" customWidth="1"/>
    <col min="4" max="4" width="23.44140625" customWidth="1"/>
    <col min="6" max="6" width="12.6640625" bestFit="1" customWidth="1"/>
    <col min="8" max="8" width="17.33203125" customWidth="1"/>
  </cols>
  <sheetData>
    <row r="4" spans="2:4">
      <c r="B4" s="459" t="s">
        <v>729</v>
      </c>
      <c r="C4" s="459"/>
      <c r="D4" s="459"/>
    </row>
    <row r="5" spans="2:4">
      <c r="B5" s="459"/>
      <c r="C5" s="459"/>
      <c r="D5" s="459"/>
    </row>
    <row r="7" spans="2:4">
      <c r="B7" s="234"/>
      <c r="C7" s="235" t="s">
        <v>47</v>
      </c>
      <c r="D7" s="228" t="s">
        <v>48</v>
      </c>
    </row>
    <row r="8" spans="2:4">
      <c r="B8" s="123" t="s">
        <v>49</v>
      </c>
      <c r="C8" s="124">
        <f>+SUM(C9:C16)</f>
        <v>155447461</v>
      </c>
      <c r="D8" s="124">
        <f>+SUM(D9:D16)</f>
        <v>409169133</v>
      </c>
    </row>
    <row r="9" spans="2:4">
      <c r="B9" s="125" t="s">
        <v>50</v>
      </c>
      <c r="C9" s="129"/>
      <c r="D9" s="129"/>
    </row>
    <row r="10" spans="2:4">
      <c r="B10" s="126" t="s">
        <v>51</v>
      </c>
      <c r="C10" s="157">
        <v>0</v>
      </c>
      <c r="D10" s="127">
        <v>0</v>
      </c>
    </row>
    <row r="11" spans="2:4">
      <c r="B11" s="126" t="s">
        <v>52</v>
      </c>
      <c r="C11" s="157">
        <v>6339387</v>
      </c>
      <c r="D11" s="127">
        <v>58902353</v>
      </c>
    </row>
    <row r="12" spans="2:4">
      <c r="B12" s="125" t="s">
        <v>53</v>
      </c>
      <c r="C12" s="130"/>
      <c r="D12" s="129"/>
    </row>
    <row r="13" spans="2:4">
      <c r="B13" s="126" t="s">
        <v>54</v>
      </c>
      <c r="C13" s="157">
        <v>1353191</v>
      </c>
      <c r="D13" s="157">
        <v>663848</v>
      </c>
    </row>
    <row r="14" spans="2:4">
      <c r="B14" s="126" t="s">
        <v>55</v>
      </c>
      <c r="C14" s="157">
        <v>37731920</v>
      </c>
      <c r="D14" s="157">
        <v>20738235</v>
      </c>
    </row>
    <row r="15" spans="2:4">
      <c r="B15" s="128" t="s">
        <v>56</v>
      </c>
      <c r="C15" s="157">
        <v>8070846</v>
      </c>
      <c r="D15" s="157">
        <v>10000000</v>
      </c>
    </row>
    <row r="16" spans="2:4">
      <c r="B16" s="128" t="s">
        <v>57</v>
      </c>
      <c r="C16" s="157">
        <f>+'Anexo 5s-5w'!C42</f>
        <v>101952117</v>
      </c>
      <c r="D16" s="157">
        <f>+'Anexo 5s-5w'!D42</f>
        <v>318864697</v>
      </c>
    </row>
    <row r="17" spans="2:6">
      <c r="B17" s="123" t="s">
        <v>58</v>
      </c>
      <c r="C17" s="124">
        <f>-SUM(C18:C20)</f>
        <v>-24619963</v>
      </c>
      <c r="D17" s="124">
        <f>-SUM(D18:D20)</f>
        <v>-27021146</v>
      </c>
    </row>
    <row r="18" spans="2:6">
      <c r="B18" s="128" t="s">
        <v>59</v>
      </c>
      <c r="C18" s="331">
        <v>0</v>
      </c>
      <c r="D18" s="129">
        <v>0</v>
      </c>
    </row>
    <row r="19" spans="2:6">
      <c r="B19" s="128" t="s">
        <v>60</v>
      </c>
      <c r="C19" s="130">
        <f>'Anexo 5s-5w'!C55</f>
        <v>15485983</v>
      </c>
      <c r="D19" s="129">
        <f>+'Anexo 5s-5w'!D55</f>
        <v>23892748</v>
      </c>
    </row>
    <row r="20" spans="2:6">
      <c r="B20" s="128" t="s">
        <v>61</v>
      </c>
      <c r="C20" s="130">
        <f>+'Anexo 5s-5w'!C64</f>
        <v>9133980</v>
      </c>
      <c r="D20" s="130">
        <f>+'Anexo 5s-5w'!D64</f>
        <v>3128398</v>
      </c>
      <c r="F20" s="13"/>
    </row>
    <row r="21" spans="2:6">
      <c r="B21" s="123" t="s">
        <v>62</v>
      </c>
      <c r="C21" s="124">
        <f>+C8+C17</f>
        <v>130827498</v>
      </c>
      <c r="D21" s="124">
        <f>+D8+D17</f>
        <v>382147987</v>
      </c>
    </row>
    <row r="22" spans="2:6">
      <c r="B22" s="125" t="s">
        <v>63</v>
      </c>
      <c r="C22" s="131">
        <f>-SUM(C23:C25)</f>
        <v>-68696999</v>
      </c>
      <c r="D22" s="131">
        <f>-SUM(D23:D25)</f>
        <v>-965842</v>
      </c>
    </row>
    <row r="23" spans="2:6">
      <c r="B23" s="128" t="s">
        <v>64</v>
      </c>
      <c r="C23" s="130">
        <v>7818182</v>
      </c>
      <c r="D23" s="130">
        <v>372727</v>
      </c>
    </row>
    <row r="24" spans="2:6">
      <c r="B24" s="128" t="s">
        <v>65</v>
      </c>
      <c r="C24" s="130">
        <v>0</v>
      </c>
      <c r="D24" s="129">
        <v>0</v>
      </c>
    </row>
    <row r="25" spans="2:6">
      <c r="B25" s="128" t="s">
        <v>66</v>
      </c>
      <c r="C25" s="130">
        <f>'Anexo 5s-5w'!C74</f>
        <v>60878817</v>
      </c>
      <c r="D25" s="130">
        <f>'Anexo 5s-5w'!D74</f>
        <v>593115</v>
      </c>
    </row>
    <row r="26" spans="2:6">
      <c r="B26" s="125" t="s">
        <v>67</v>
      </c>
      <c r="C26" s="131">
        <f>-SUM(C27:C32)</f>
        <v>-185965253</v>
      </c>
      <c r="D26" s="131">
        <f>-SUM(D27:D32)</f>
        <v>-178589443</v>
      </c>
    </row>
    <row r="27" spans="2:6">
      <c r="B27" s="128" t="s">
        <v>68</v>
      </c>
      <c r="C27" s="130">
        <v>0</v>
      </c>
      <c r="D27" s="129">
        <v>0</v>
      </c>
    </row>
    <row r="28" spans="2:6">
      <c r="B28" s="128" t="s">
        <v>69</v>
      </c>
      <c r="C28" s="130">
        <v>0</v>
      </c>
      <c r="D28" s="129">
        <v>0</v>
      </c>
    </row>
    <row r="29" spans="2:6">
      <c r="B29" s="128" t="s">
        <v>70</v>
      </c>
      <c r="C29" s="130">
        <v>0</v>
      </c>
      <c r="D29" s="129">
        <v>0</v>
      </c>
    </row>
    <row r="30" spans="2:6">
      <c r="B30" s="128" t="s">
        <v>71</v>
      </c>
      <c r="C30" s="130">
        <v>848486</v>
      </c>
      <c r="D30" s="130">
        <v>954546</v>
      </c>
    </row>
    <row r="31" spans="2:6">
      <c r="B31" s="128" t="s">
        <v>72</v>
      </c>
      <c r="C31" s="130">
        <v>0</v>
      </c>
      <c r="D31" s="129">
        <v>0</v>
      </c>
    </row>
    <row r="32" spans="2:6">
      <c r="B32" s="128" t="s">
        <v>73</v>
      </c>
      <c r="C32" s="130">
        <f>'Anexo 5s-5w'!C103</f>
        <v>185116767</v>
      </c>
      <c r="D32" s="129">
        <f>+'Anexo 5s-5w'!D103</f>
        <v>177634897</v>
      </c>
    </row>
    <row r="33" spans="2:5">
      <c r="B33" s="123" t="s">
        <v>74</v>
      </c>
      <c r="C33" s="124">
        <f>+C21+C22+C26</f>
        <v>-123834754</v>
      </c>
      <c r="D33" s="124">
        <f>+D21+D22+D26</f>
        <v>202592702</v>
      </c>
    </row>
    <row r="34" spans="2:5">
      <c r="B34" s="125" t="s">
        <v>75</v>
      </c>
      <c r="C34" s="306"/>
      <c r="D34" s="131"/>
    </row>
    <row r="35" spans="2:5">
      <c r="B35" s="128" t="s">
        <v>76</v>
      </c>
      <c r="C35" s="129">
        <f>+'Anexo 5x-5z'!C13</f>
        <v>234834</v>
      </c>
      <c r="D35" s="129">
        <f>+'Anexo 5x-5z'!D13</f>
        <v>0</v>
      </c>
    </row>
    <row r="36" spans="2:5">
      <c r="B36" s="128" t="s">
        <v>77</v>
      </c>
      <c r="C36" s="130">
        <v>0</v>
      </c>
      <c r="D36" s="129">
        <v>0</v>
      </c>
    </row>
    <row r="37" spans="2:5">
      <c r="B37" s="125" t="s">
        <v>78</v>
      </c>
      <c r="C37" s="306"/>
      <c r="D37" s="131"/>
    </row>
    <row r="38" spans="2:5">
      <c r="B38" s="125" t="s">
        <v>79</v>
      </c>
      <c r="C38" s="306"/>
      <c r="D38" s="131"/>
    </row>
    <row r="39" spans="2:5">
      <c r="B39" s="128" t="s">
        <v>80</v>
      </c>
      <c r="C39" s="130">
        <f>+'Anexo 5x-5z'!C29</f>
        <v>3137044</v>
      </c>
      <c r="D39" s="129">
        <f>+'Anexo 5x-5z'!D29</f>
        <v>16117544</v>
      </c>
    </row>
    <row r="40" spans="2:5">
      <c r="B40" s="128" t="s">
        <v>81</v>
      </c>
      <c r="C40" s="130">
        <f>+'Anexo 5a-5c'!D35</f>
        <v>10151807</v>
      </c>
      <c r="D40" s="130">
        <v>12250528</v>
      </c>
    </row>
    <row r="41" spans="2:5">
      <c r="B41" s="125" t="s">
        <v>82</v>
      </c>
      <c r="C41" s="306"/>
      <c r="D41" s="131"/>
    </row>
    <row r="42" spans="2:5">
      <c r="B42" s="128" t="s">
        <v>83</v>
      </c>
      <c r="C42" s="130">
        <f>-'Anexo 5x-5z'!C36</f>
        <v>0</v>
      </c>
      <c r="D42" s="129">
        <f>-'Anexo 5x-5z'!D36</f>
        <v>0</v>
      </c>
    </row>
    <row r="43" spans="2:5">
      <c r="B43" s="128" t="s">
        <v>81</v>
      </c>
      <c r="C43" s="130">
        <f>+'Anexo 5a-5c'!D36</f>
        <v>-27528563</v>
      </c>
      <c r="D43" s="130">
        <v>-7854537</v>
      </c>
    </row>
    <row r="44" spans="2:5">
      <c r="B44" s="123" t="s">
        <v>84</v>
      </c>
      <c r="C44" s="124">
        <f>SUM(C33:C43)</f>
        <v>-137839632</v>
      </c>
      <c r="D44" s="124">
        <f>SUM(D33:D43)</f>
        <v>223106237</v>
      </c>
    </row>
    <row r="45" spans="2:5">
      <c r="B45" s="132" t="s">
        <v>85</v>
      </c>
      <c r="C45" s="306">
        <v>0</v>
      </c>
      <c r="D45" s="131">
        <v>0</v>
      </c>
    </row>
    <row r="46" spans="2:5">
      <c r="B46" s="132" t="s">
        <v>86</v>
      </c>
      <c r="C46" s="306">
        <v>0</v>
      </c>
      <c r="D46" s="131">
        <v>0</v>
      </c>
    </row>
    <row r="47" spans="2:5">
      <c r="B47" s="123" t="s">
        <v>87</v>
      </c>
      <c r="C47" s="124">
        <f>+C44-C45-C46</f>
        <v>-137839632</v>
      </c>
      <c r="D47" s="124">
        <f>+D44-D45-D46</f>
        <v>223106237</v>
      </c>
      <c r="E47" s="13"/>
    </row>
    <row r="48" spans="2:5">
      <c r="C48" s="13"/>
      <c r="D48" s="13"/>
    </row>
    <row r="49" spans="2:7">
      <c r="B49" s="4"/>
      <c r="C49" s="13"/>
      <c r="D49" s="4"/>
      <c r="F49" s="460"/>
      <c r="G49" s="460"/>
    </row>
    <row r="50" spans="2:7">
      <c r="B50" s="458" t="s">
        <v>385</v>
      </c>
      <c r="C50" s="458"/>
      <c r="D50" s="458"/>
      <c r="E50" s="458"/>
      <c r="F50" s="458"/>
    </row>
  </sheetData>
  <mergeCells count="3">
    <mergeCell ref="B4:D5"/>
    <mergeCell ref="F49:G49"/>
    <mergeCell ref="B50:F50"/>
  </mergeCells>
  <pageMargins left="0.70866141732283472" right="0.70866141732283472" top="1.3385826771653544" bottom="0.74803149606299213" header="0.31496062992125984" footer="0.31496062992125984"/>
  <pageSetup paperSize="9" scale="6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4:P27"/>
  <sheetViews>
    <sheetView showGridLines="0" zoomScale="102" zoomScaleNormal="102" workbookViewId="0">
      <selection activeCell="O19" sqref="O19"/>
    </sheetView>
  </sheetViews>
  <sheetFormatPr baseColWidth="10" defaultColWidth="10.6640625" defaultRowHeight="14.4"/>
  <cols>
    <col min="1" max="1" width="4.6640625" customWidth="1"/>
    <col min="2" max="2" width="41.5546875" customWidth="1"/>
    <col min="3" max="3" width="16.44140625" customWidth="1"/>
    <col min="4" max="4" width="15" bestFit="1" customWidth="1"/>
    <col min="5" max="5" width="12.44140625" bestFit="1" customWidth="1"/>
    <col min="6" max="6" width="15" customWidth="1"/>
    <col min="7" max="7" width="16.6640625" customWidth="1"/>
    <col min="8" max="8" width="14.33203125" bestFit="1" customWidth="1"/>
    <col min="9" max="9" width="14.33203125" style="49" customWidth="1"/>
    <col min="10" max="10" width="14.33203125" bestFit="1" customWidth="1"/>
    <col min="11" max="11" width="15.44140625" customWidth="1"/>
    <col min="12" max="12" width="16.33203125" customWidth="1"/>
    <col min="13" max="13" width="15" bestFit="1" customWidth="1"/>
    <col min="14" max="14" width="14.33203125" bestFit="1" customWidth="1"/>
    <col min="15" max="16" width="13.5546875" bestFit="1" customWidth="1"/>
  </cols>
  <sheetData>
    <row r="4" spans="1:15" ht="15.6">
      <c r="B4" s="462" t="s">
        <v>118</v>
      </c>
      <c r="C4" s="462"/>
      <c r="D4" s="462"/>
      <c r="E4" s="462"/>
      <c r="F4" s="462"/>
      <c r="G4" s="462"/>
      <c r="H4" s="462"/>
      <c r="I4" s="462"/>
      <c r="J4" s="462"/>
      <c r="K4" s="462"/>
      <c r="L4" s="462"/>
      <c r="M4" s="462"/>
      <c r="N4" s="462"/>
    </row>
    <row r="5" spans="1:15" ht="15.6">
      <c r="A5" s="6"/>
      <c r="B5" s="463" t="s">
        <v>730</v>
      </c>
      <c r="C5" s="463"/>
      <c r="D5" s="463"/>
      <c r="E5" s="463"/>
      <c r="F5" s="463"/>
      <c r="G5" s="463"/>
      <c r="H5" s="463"/>
      <c r="I5" s="463"/>
      <c r="J5" s="463"/>
      <c r="K5" s="463"/>
      <c r="L5" s="463"/>
      <c r="M5" s="463"/>
      <c r="N5" s="463"/>
    </row>
    <row r="6" spans="1:15" ht="15.6">
      <c r="A6" s="6"/>
      <c r="B6" s="462" t="s">
        <v>119</v>
      </c>
      <c r="C6" s="462"/>
      <c r="D6" s="462"/>
      <c r="E6" s="462"/>
      <c r="F6" s="462"/>
      <c r="G6" s="462"/>
      <c r="H6" s="462"/>
      <c r="I6" s="462"/>
      <c r="J6" s="462"/>
      <c r="K6" s="462"/>
      <c r="L6" s="462"/>
      <c r="M6" s="462"/>
      <c r="N6" s="462"/>
    </row>
    <row r="7" spans="1:15" ht="15.6">
      <c r="A7" s="6"/>
      <c r="B7" s="34"/>
      <c r="C7" s="34"/>
      <c r="D7" s="34"/>
      <c r="E7" s="34"/>
      <c r="F7" s="34"/>
      <c r="G7" s="34"/>
      <c r="H7" s="34"/>
      <c r="I7" s="41"/>
      <c r="J7" s="34"/>
      <c r="K7" s="34"/>
      <c r="L7" s="34"/>
      <c r="M7" s="34"/>
      <c r="N7" s="34"/>
    </row>
    <row r="8" spans="1:15">
      <c r="B8" s="461" t="s">
        <v>120</v>
      </c>
      <c r="C8" s="461" t="s">
        <v>121</v>
      </c>
      <c r="D8" s="461"/>
      <c r="E8" s="461"/>
      <c r="F8" s="461"/>
      <c r="G8" s="461" t="s">
        <v>122</v>
      </c>
      <c r="H8" s="461"/>
      <c r="I8" s="461"/>
      <c r="J8" s="461"/>
      <c r="K8" s="461" t="s">
        <v>123</v>
      </c>
      <c r="L8" s="461"/>
      <c r="M8" s="461" t="s">
        <v>124</v>
      </c>
      <c r="N8" s="461"/>
    </row>
    <row r="9" spans="1:15">
      <c r="B9" s="461"/>
      <c r="C9" s="461" t="s">
        <v>125</v>
      </c>
      <c r="D9" s="461" t="s">
        <v>126</v>
      </c>
      <c r="E9" s="461" t="s">
        <v>127</v>
      </c>
      <c r="F9" s="461" t="s">
        <v>128</v>
      </c>
      <c r="G9" s="461" t="s">
        <v>129</v>
      </c>
      <c r="H9" s="461" t="s">
        <v>337</v>
      </c>
      <c r="I9" s="461" t="s">
        <v>356</v>
      </c>
      <c r="J9" s="461" t="s">
        <v>130</v>
      </c>
      <c r="K9" s="461" t="s">
        <v>132</v>
      </c>
      <c r="L9" s="461" t="s">
        <v>133</v>
      </c>
      <c r="M9" s="218" t="s">
        <v>134</v>
      </c>
      <c r="N9" s="461" t="s">
        <v>136</v>
      </c>
    </row>
    <row r="10" spans="1:15">
      <c r="B10" s="461"/>
      <c r="C10" s="461"/>
      <c r="D10" s="461"/>
      <c r="E10" s="461"/>
      <c r="F10" s="461"/>
      <c r="G10" s="461"/>
      <c r="H10" s="461"/>
      <c r="I10" s="461"/>
      <c r="J10" s="461"/>
      <c r="K10" s="461"/>
      <c r="L10" s="461"/>
      <c r="M10" s="218" t="s">
        <v>135</v>
      </c>
      <c r="N10" s="461"/>
      <c r="O10" s="13"/>
    </row>
    <row r="11" spans="1:15" s="280" customFormat="1">
      <c r="B11" s="71" t="s">
        <v>319</v>
      </c>
      <c r="C11" s="119">
        <v>0</v>
      </c>
      <c r="D11" s="119">
        <f>+'Balance General'!G45</f>
        <v>7000000</v>
      </c>
      <c r="E11" s="119">
        <f>+'Balance General'!G44</f>
        <v>9484301</v>
      </c>
      <c r="F11" s="119">
        <f>+'Balance General'!G43</f>
        <v>3332300000</v>
      </c>
      <c r="G11" s="119">
        <f>+'Balance General'!G48</f>
        <v>101070434</v>
      </c>
      <c r="H11" s="119">
        <f>+'Balance General'!G46</f>
        <v>700000000</v>
      </c>
      <c r="I11" s="119">
        <f>+'Balance General'!G49</f>
        <v>57662078</v>
      </c>
      <c r="J11" s="119">
        <f>+'Balance General'!G50</f>
        <v>10841802</v>
      </c>
      <c r="K11" s="119">
        <f>+'Balance General'!G52</f>
        <v>-1402200261</v>
      </c>
      <c r="L11" s="119">
        <f>+'Balance General'!G53</f>
        <v>223106237</v>
      </c>
      <c r="M11" s="119">
        <v>0</v>
      </c>
      <c r="N11" s="119">
        <f>SUM(C11:L11)</f>
        <v>3039264591</v>
      </c>
      <c r="O11" s="281"/>
    </row>
    <row r="12" spans="1:15" s="280" customFormat="1">
      <c r="B12" s="309" t="s">
        <v>138</v>
      </c>
      <c r="C12" s="314"/>
      <c r="D12" s="314"/>
      <c r="E12" s="315"/>
      <c r="F12" s="66"/>
      <c r="G12" s="66"/>
      <c r="H12" s="66"/>
      <c r="I12" s="66"/>
      <c r="J12" s="314"/>
      <c r="K12" s="66"/>
      <c r="L12" s="66"/>
      <c r="M12" s="119"/>
      <c r="N12" s="119"/>
    </row>
    <row r="13" spans="1:15" s="280" customFormat="1">
      <c r="B13" s="71" t="s">
        <v>131</v>
      </c>
      <c r="C13" s="120">
        <v>0</v>
      </c>
      <c r="D13" s="120">
        <f>+'Balance General'!F45-'Balance General'!G45</f>
        <v>7010438</v>
      </c>
      <c r="E13" s="120">
        <f>+'Balance General'!F44-'Balance General'!G44</f>
        <v>415997</v>
      </c>
      <c r="F13" s="120">
        <f>+'Balance General'!F43-'Balance General'!G43</f>
        <v>210600000</v>
      </c>
      <c r="G13" s="121">
        <v>0</v>
      </c>
      <c r="H13" s="121">
        <v>0</v>
      </c>
      <c r="I13" s="121">
        <v>0</v>
      </c>
      <c r="J13" s="121">
        <v>0</v>
      </c>
      <c r="K13" s="121">
        <v>0</v>
      </c>
      <c r="L13" s="121">
        <v>0</v>
      </c>
      <c r="M13" s="119">
        <f>SUM(C13:L13)</f>
        <v>218026435</v>
      </c>
      <c r="N13" s="119">
        <v>0</v>
      </c>
    </row>
    <row r="14" spans="1:15" s="280" customFormat="1">
      <c r="B14" s="71" t="s">
        <v>139</v>
      </c>
      <c r="C14" s="121">
        <v>0</v>
      </c>
      <c r="D14" s="121">
        <v>0</v>
      </c>
      <c r="E14" s="121">
        <v>0</v>
      </c>
      <c r="F14" s="121">
        <v>0</v>
      </c>
      <c r="G14" s="122">
        <f>+'Balance General'!F48-'Balance General'!G48</f>
        <v>9048423</v>
      </c>
      <c r="H14" s="121">
        <v>0</v>
      </c>
      <c r="I14" s="121">
        <f>+'Balance General'!F49-'Balance General'!G49</f>
        <v>-8990498</v>
      </c>
      <c r="J14" s="121">
        <v>0</v>
      </c>
      <c r="K14" s="121">
        <v>0</v>
      </c>
      <c r="L14" s="121">
        <v>0</v>
      </c>
      <c r="M14" s="119">
        <f t="shared" ref="M14:M18" si="0">SUM(C14:L14)</f>
        <v>57925</v>
      </c>
      <c r="N14" s="119">
        <v>0</v>
      </c>
    </row>
    <row r="15" spans="1:15" s="280" customFormat="1">
      <c r="B15" s="71" t="s">
        <v>697</v>
      </c>
      <c r="C15" s="120">
        <v>0</v>
      </c>
      <c r="D15" s="120">
        <v>0</v>
      </c>
      <c r="E15" s="120">
        <v>0</v>
      </c>
      <c r="F15" s="120">
        <v>0</v>
      </c>
      <c r="G15" s="121">
        <v>0</v>
      </c>
      <c r="H15" s="121">
        <v>0</v>
      </c>
      <c r="I15" s="121">
        <v>0</v>
      </c>
      <c r="J15" s="121">
        <v>0</v>
      </c>
      <c r="K15" s="121">
        <f>+L11</f>
        <v>223106237</v>
      </c>
      <c r="L15" s="121">
        <f>-K15</f>
        <v>-223106237</v>
      </c>
      <c r="M15" s="119">
        <f t="shared" si="0"/>
        <v>0</v>
      </c>
      <c r="N15" s="119">
        <v>0</v>
      </c>
    </row>
    <row r="16" spans="1:15" s="280" customFormat="1">
      <c r="B16" s="71" t="s">
        <v>661</v>
      </c>
      <c r="C16" s="120">
        <v>0</v>
      </c>
      <c r="D16" s="120">
        <v>0</v>
      </c>
      <c r="E16" s="120">
        <v>0</v>
      </c>
      <c r="F16" s="120">
        <v>0</v>
      </c>
      <c r="G16" s="121">
        <v>0</v>
      </c>
      <c r="H16" s="121">
        <v>0</v>
      </c>
      <c r="I16" s="121">
        <v>0</v>
      </c>
      <c r="J16" s="121">
        <v>0</v>
      </c>
      <c r="K16" s="121">
        <f>(+'Balance General'!G52-'Balance General'!F52+'Balance General'!G53)*-1</f>
        <v>-177216813</v>
      </c>
      <c r="L16" s="121">
        <v>0</v>
      </c>
      <c r="M16" s="119">
        <f t="shared" si="0"/>
        <v>-177216813</v>
      </c>
      <c r="N16" s="119">
        <v>0</v>
      </c>
    </row>
    <row r="17" spans="2:16" s="280" customFormat="1">
      <c r="B17" s="71" t="s">
        <v>698</v>
      </c>
      <c r="C17" s="120">
        <v>0</v>
      </c>
      <c r="D17" s="120">
        <v>0</v>
      </c>
      <c r="E17" s="120">
        <v>0</v>
      </c>
      <c r="F17" s="120">
        <v>0</v>
      </c>
      <c r="G17" s="121">
        <v>0</v>
      </c>
      <c r="H17" s="121">
        <f>+'Balance General'!F46-'Balance General'!G46</f>
        <v>102000000</v>
      </c>
      <c r="I17" s="121">
        <v>0</v>
      </c>
      <c r="J17" s="121">
        <v>0</v>
      </c>
      <c r="K17" s="121">
        <v>0</v>
      </c>
      <c r="L17" s="121">
        <v>0</v>
      </c>
      <c r="M17" s="119">
        <f t="shared" si="0"/>
        <v>102000000</v>
      </c>
      <c r="N17" s="119">
        <v>0</v>
      </c>
    </row>
    <row r="18" spans="2:16" s="280" customFormat="1">
      <c r="B18" s="344" t="s">
        <v>320</v>
      </c>
      <c r="C18" s="345">
        <v>0</v>
      </c>
      <c r="D18" s="345">
        <v>0</v>
      </c>
      <c r="E18" s="345">
        <v>0</v>
      </c>
      <c r="F18" s="345">
        <v>0</v>
      </c>
      <c r="G18" s="343">
        <v>0</v>
      </c>
      <c r="H18" s="343">
        <v>0</v>
      </c>
      <c r="I18" s="343">
        <v>0</v>
      </c>
      <c r="J18" s="343">
        <v>0</v>
      </c>
      <c r="K18" s="346">
        <v>0</v>
      </c>
      <c r="L18" s="345">
        <f>+'Balance General'!F53</f>
        <v>-137839632</v>
      </c>
      <c r="M18" s="343">
        <f t="shared" si="0"/>
        <v>-137839632</v>
      </c>
      <c r="N18" s="343">
        <v>0</v>
      </c>
    </row>
    <row r="19" spans="2:16" s="280" customFormat="1">
      <c r="B19" s="347" t="s">
        <v>332</v>
      </c>
      <c r="C19" s="343">
        <f>SUM(C11:C18)</f>
        <v>0</v>
      </c>
      <c r="D19" s="343">
        <f t="shared" ref="D19:L19" si="1">SUM(D11:D18)</f>
        <v>14010438</v>
      </c>
      <c r="E19" s="343">
        <f t="shared" si="1"/>
        <v>9900298</v>
      </c>
      <c r="F19" s="343">
        <f t="shared" si="1"/>
        <v>3542900000</v>
      </c>
      <c r="G19" s="343">
        <f t="shared" si="1"/>
        <v>110118857</v>
      </c>
      <c r="H19" s="343">
        <f t="shared" si="1"/>
        <v>802000000</v>
      </c>
      <c r="I19" s="343">
        <f t="shared" si="1"/>
        <v>48671580</v>
      </c>
      <c r="J19" s="343">
        <f t="shared" si="1"/>
        <v>10841802</v>
      </c>
      <c r="K19" s="343">
        <f>SUM(K11:K18)</f>
        <v>-1356310837</v>
      </c>
      <c r="L19" s="343">
        <f t="shared" si="1"/>
        <v>-137839632</v>
      </c>
      <c r="M19" s="343">
        <f>SUM(C19:L19)</f>
        <v>3044292506</v>
      </c>
      <c r="N19" s="343">
        <v>0</v>
      </c>
      <c r="O19" s="281"/>
      <c r="P19" s="281"/>
    </row>
    <row r="20" spans="2:16" s="280" customFormat="1">
      <c r="B20" s="347" t="s">
        <v>333</v>
      </c>
      <c r="C20" s="343">
        <f t="shared" ref="C20:H20" si="2">+C11</f>
        <v>0</v>
      </c>
      <c r="D20" s="343">
        <f t="shared" si="2"/>
        <v>7000000</v>
      </c>
      <c r="E20" s="348">
        <f t="shared" si="2"/>
        <v>9484301</v>
      </c>
      <c r="F20" s="348">
        <f t="shared" si="2"/>
        <v>3332300000</v>
      </c>
      <c r="G20" s="343">
        <f t="shared" si="2"/>
        <v>101070434</v>
      </c>
      <c r="H20" s="343">
        <f t="shared" si="2"/>
        <v>700000000</v>
      </c>
      <c r="I20" s="343">
        <v>0</v>
      </c>
      <c r="J20" s="343">
        <f>+J11</f>
        <v>10841802</v>
      </c>
      <c r="K20" s="343">
        <f>+K11</f>
        <v>-1402200261</v>
      </c>
      <c r="L20" s="343">
        <f>+L11</f>
        <v>223106237</v>
      </c>
      <c r="M20" s="343">
        <f>+M11</f>
        <v>0</v>
      </c>
      <c r="N20" s="343">
        <f>+N11</f>
        <v>3039264591</v>
      </c>
    </row>
    <row r="21" spans="2:16">
      <c r="F21" s="13"/>
    </row>
    <row r="22" spans="2:16">
      <c r="M22" s="13"/>
    </row>
    <row r="23" spans="2:16" ht="16.5" customHeight="1">
      <c r="B23" s="200" t="s">
        <v>385</v>
      </c>
      <c r="C23" s="201"/>
      <c r="D23" s="202"/>
      <c r="E23" s="201"/>
      <c r="F23" s="201"/>
      <c r="G23" s="201"/>
      <c r="H23" s="201"/>
    </row>
    <row r="24" spans="2:16">
      <c r="B24" s="24"/>
      <c r="C24" s="24"/>
      <c r="D24" s="24"/>
      <c r="E24" s="24"/>
      <c r="F24" s="24"/>
      <c r="G24" s="24"/>
      <c r="H24" s="24"/>
      <c r="I24" s="24"/>
      <c r="J24" s="24"/>
      <c r="K24" s="24"/>
      <c r="L24" s="24"/>
      <c r="M24" s="24"/>
    </row>
    <row r="25" spans="2:16">
      <c r="B25" s="24"/>
      <c r="C25" s="24"/>
      <c r="D25" s="24"/>
      <c r="E25" s="24"/>
      <c r="F25" s="24"/>
      <c r="G25" s="24"/>
      <c r="H25" s="24"/>
      <c r="I25" s="24"/>
      <c r="J25" s="24"/>
      <c r="K25" s="24"/>
      <c r="L25" s="24"/>
      <c r="M25" s="24"/>
    </row>
    <row r="26" spans="2:16">
      <c r="B26" s="24"/>
      <c r="C26" s="24"/>
      <c r="D26" s="24"/>
      <c r="E26" s="24"/>
      <c r="F26" s="24"/>
      <c r="G26" s="24"/>
      <c r="H26" s="24"/>
      <c r="I26" s="24"/>
      <c r="J26" s="24"/>
      <c r="K26" s="24"/>
      <c r="L26" s="24"/>
      <c r="M26" s="24"/>
    </row>
    <row r="27" spans="2:16">
      <c r="B27" s="24"/>
      <c r="C27" s="24"/>
      <c r="D27" s="24"/>
      <c r="E27" s="24"/>
      <c r="F27" s="24"/>
      <c r="G27" s="24"/>
      <c r="H27" s="24"/>
      <c r="I27" s="24"/>
      <c r="J27" s="24"/>
      <c r="K27" s="24"/>
      <c r="L27" s="24"/>
      <c r="M27" s="24"/>
    </row>
  </sheetData>
  <mergeCells count="19">
    <mergeCell ref="H9:H10"/>
    <mergeCell ref="J9:J10"/>
    <mergeCell ref="N9:N10"/>
    <mergeCell ref="K9:K10"/>
    <mergeCell ref="L9:L10"/>
    <mergeCell ref="I9:I10"/>
    <mergeCell ref="B4:N4"/>
    <mergeCell ref="B5:N5"/>
    <mergeCell ref="B6:N6"/>
    <mergeCell ref="B8:B10"/>
    <mergeCell ref="C8:F8"/>
    <mergeCell ref="G8:J8"/>
    <mergeCell ref="K8:L8"/>
    <mergeCell ref="M8:N8"/>
    <mergeCell ref="C9:C10"/>
    <mergeCell ref="D9:D10"/>
    <mergeCell ref="E9:E10"/>
    <mergeCell ref="F9:F10"/>
    <mergeCell ref="G9:G10"/>
  </mergeCell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4:F47"/>
  <sheetViews>
    <sheetView showGridLines="0" topLeftCell="A6" zoomScale="102" zoomScaleNormal="102" workbookViewId="0">
      <selection activeCell="C44" sqref="C44"/>
    </sheetView>
  </sheetViews>
  <sheetFormatPr baseColWidth="10" defaultColWidth="10.6640625" defaultRowHeight="14.4"/>
  <cols>
    <col min="2" max="2" width="74.6640625" bestFit="1" customWidth="1"/>
    <col min="3" max="3" width="14.5546875" bestFit="1" customWidth="1"/>
    <col min="4" max="4" width="16.5546875" customWidth="1"/>
    <col min="5" max="5" width="13.6640625" customWidth="1"/>
    <col min="7" max="7" width="15.33203125" customWidth="1"/>
  </cols>
  <sheetData>
    <row r="4" spans="2:6">
      <c r="B4" s="465" t="s">
        <v>88</v>
      </c>
      <c r="C4" s="465"/>
      <c r="D4" s="465"/>
    </row>
    <row r="5" spans="2:6">
      <c r="B5" s="464" t="s">
        <v>731</v>
      </c>
      <c r="C5" s="464"/>
      <c r="D5" s="464"/>
    </row>
    <row r="6" spans="2:6">
      <c r="B6" s="465" t="s">
        <v>89</v>
      </c>
      <c r="C6" s="465"/>
      <c r="D6" s="465"/>
    </row>
    <row r="9" spans="2:6" ht="24">
      <c r="B9" s="232"/>
      <c r="C9" s="219" t="s">
        <v>47</v>
      </c>
      <c r="D9" s="233" t="s">
        <v>48</v>
      </c>
      <c r="E9" s="3"/>
    </row>
    <row r="10" spans="2:6">
      <c r="B10" s="103" t="s">
        <v>90</v>
      </c>
      <c r="C10" s="104"/>
      <c r="D10" s="104"/>
      <c r="E10" s="3"/>
    </row>
    <row r="11" spans="2:6">
      <c r="B11" s="105" t="s">
        <v>91</v>
      </c>
      <c r="C11" s="106">
        <f>+'Estado de Resultados'!C10+'Estado de Resultados'!C11+'Estado de Resultados'!C13+'Estado de Resultados'!C14+'Estado de Resultados'!C15+'Estado de Resultados'!C16+'Balance General'!D20-'Balance General'!C20</f>
        <v>187598360.81520003</v>
      </c>
      <c r="D11" s="106">
        <f>+'Estado de Resultados'!D10+'Estado de Resultados'!D11+'Estado de Resultados'!D13+'Estado de Resultados'!D14+'Estado de Resultados'!D15+'Estado de Resultados'!D16+'Balance General'!D20-'Balance General'!D20</f>
        <v>409169133</v>
      </c>
      <c r="E11" s="3"/>
    </row>
    <row r="12" spans="2:6">
      <c r="B12" s="105" t="s">
        <v>92</v>
      </c>
      <c r="C12" s="106">
        <f>-'Estado de Resultados'!C27-'Anexo 5s-5w'!C81-'Anexo 5s-5w'!C82-'Anexo 5s-5w'!C85+'Balance General'!G22-'Balance General'!F22+'Balance General'!F27</f>
        <v>-56530466</v>
      </c>
      <c r="D12" s="106">
        <f>-'Estado de Resultados'!D27-'Anexo 5s-5w'!D81-'Anexo 5s-5w'!D82-'Anexo 5s-5w'!D85+'Balance General'!H22-'Balance General'!G22+'Balance General'!G27</f>
        <v>-71615101</v>
      </c>
      <c r="E12" s="3"/>
    </row>
    <row r="13" spans="2:6">
      <c r="B13" s="105" t="s">
        <v>93</v>
      </c>
      <c r="C13" s="106">
        <v>-125573753</v>
      </c>
      <c r="D13" s="106">
        <v>223106237</v>
      </c>
      <c r="E13" s="3"/>
    </row>
    <row r="14" spans="2:6">
      <c r="B14" s="466" t="s">
        <v>94</v>
      </c>
      <c r="C14" s="467">
        <f>SUM(C11:C13)</f>
        <v>5494141.8152000308</v>
      </c>
      <c r="D14" s="467">
        <f>SUM(D11:D13)</f>
        <v>560660269</v>
      </c>
      <c r="E14" s="3"/>
    </row>
    <row r="15" spans="2:6">
      <c r="B15" s="466"/>
      <c r="C15" s="467"/>
      <c r="D15" s="467"/>
      <c r="E15" s="3"/>
      <c r="F15" s="3"/>
    </row>
    <row r="16" spans="2:6">
      <c r="B16" s="107" t="s">
        <v>95</v>
      </c>
      <c r="C16" s="108"/>
      <c r="D16" s="211"/>
      <c r="E16" s="3"/>
    </row>
    <row r="17" spans="2:5">
      <c r="B17" s="105" t="s">
        <v>96</v>
      </c>
      <c r="C17" s="106">
        <v>0</v>
      </c>
      <c r="D17" s="106">
        <v>0</v>
      </c>
      <c r="E17" s="3"/>
    </row>
    <row r="18" spans="2:5">
      <c r="B18" s="107" t="s">
        <v>97</v>
      </c>
      <c r="C18" s="111"/>
      <c r="D18" s="297"/>
      <c r="E18" s="3"/>
    </row>
    <row r="19" spans="2:5">
      <c r="B19" s="105" t="s">
        <v>98</v>
      </c>
      <c r="C19" s="106">
        <f>+'Balance General'!G11-'Balance General'!F11-'Estado de Resultados'!C32+'Balance General'!D22-'Balance General'!C22</f>
        <v>-182163310.15799999</v>
      </c>
      <c r="D19" s="106">
        <f>+'Balance General'!H11-'Balance General'!G11-'Estado de Resultados'!D32+'Balance General'!D22-'Balance General'!D22</f>
        <v>-289412736</v>
      </c>
      <c r="E19" s="3"/>
    </row>
    <row r="20" spans="2:5">
      <c r="B20" s="107" t="s">
        <v>99</v>
      </c>
      <c r="C20" s="109"/>
      <c r="D20" s="106"/>
      <c r="E20" s="3"/>
    </row>
    <row r="21" spans="2:5">
      <c r="B21" s="105" t="s">
        <v>338</v>
      </c>
      <c r="C21" s="106">
        <f>-'Estado de Resultados'!C31-'Estado de Resultados'!C45-'Estado de Resultados'!C46</f>
        <v>0</v>
      </c>
      <c r="D21" s="106">
        <v>0</v>
      </c>
      <c r="E21" s="3"/>
    </row>
    <row r="22" spans="2:5">
      <c r="B22" s="107" t="s">
        <v>100</v>
      </c>
      <c r="C22" s="349">
        <f>SUM(C14:C21)</f>
        <v>-176669168.34279996</v>
      </c>
      <c r="D22" s="349">
        <f>SUM(D14:D21)</f>
        <v>271247533</v>
      </c>
      <c r="E22" s="333"/>
    </row>
    <row r="23" spans="2:5">
      <c r="B23" s="103" t="s">
        <v>101</v>
      </c>
      <c r="C23" s="104"/>
      <c r="D23" s="298"/>
      <c r="E23" s="3"/>
    </row>
    <row r="24" spans="2:5">
      <c r="B24" s="105" t="s">
        <v>102</v>
      </c>
      <c r="C24" s="106">
        <v>0</v>
      </c>
      <c r="D24" s="106">
        <v>6331813</v>
      </c>
      <c r="E24" s="3"/>
    </row>
    <row r="25" spans="2:5">
      <c r="B25" s="105" t="s">
        <v>103</v>
      </c>
      <c r="C25" s="106">
        <f>+'Balance General'!D16-'Balance General'!C16</f>
        <v>-144908552</v>
      </c>
      <c r="D25" s="106">
        <f>+'Balance General'!D16-'Balance General'!D16</f>
        <v>0</v>
      </c>
      <c r="E25" s="3"/>
    </row>
    <row r="26" spans="2:5">
      <c r="B26" s="105" t="s">
        <v>104</v>
      </c>
      <c r="C26" s="106">
        <v>0</v>
      </c>
      <c r="D26" s="106">
        <v>0</v>
      </c>
      <c r="E26" s="3"/>
    </row>
    <row r="27" spans="2:5">
      <c r="B27" s="105" t="s">
        <v>336</v>
      </c>
      <c r="C27" s="106">
        <f>(+'Balance General'!C40-'Balance General'!D40+'Balance General'!C41-'Balance General'!D41)*-1</f>
        <v>-8362401.4111894071</v>
      </c>
      <c r="D27" s="106">
        <v>0</v>
      </c>
      <c r="E27" s="3"/>
    </row>
    <row r="28" spans="2:5" s="49" customFormat="1">
      <c r="B28" s="105" t="s">
        <v>686</v>
      </c>
      <c r="C28" s="106">
        <f>-'Anexo 5i-5m'!D8</f>
        <v>-20681817</v>
      </c>
      <c r="D28" s="106">
        <f>-'Anexo 5i-5m'!E8</f>
        <v>2091038</v>
      </c>
      <c r="E28" s="3"/>
    </row>
    <row r="29" spans="2:5" ht="15.75" customHeight="1">
      <c r="B29" s="105" t="s">
        <v>105</v>
      </c>
      <c r="C29" s="106">
        <f>(+'Balance General'!D17-'Balance General'!C17)</f>
        <v>755119250</v>
      </c>
      <c r="D29" s="106">
        <v>-163871530</v>
      </c>
      <c r="E29" s="3"/>
    </row>
    <row r="30" spans="2:5">
      <c r="B30" s="105" t="s">
        <v>106</v>
      </c>
      <c r="C30" s="106">
        <f>+'Anexo 5x-5z'!C9</f>
        <v>332586</v>
      </c>
      <c r="D30" s="106">
        <v>0</v>
      </c>
      <c r="E30" s="3"/>
    </row>
    <row r="31" spans="2:5">
      <c r="B31" s="105" t="s">
        <v>107</v>
      </c>
      <c r="C31" s="106">
        <f>+'Balance General'!C25-'Balance General'!D25</f>
        <v>33988877</v>
      </c>
      <c r="D31" s="106">
        <v>0</v>
      </c>
      <c r="E31" s="3"/>
    </row>
    <row r="32" spans="2:5">
      <c r="B32" s="107" t="s">
        <v>108</v>
      </c>
      <c r="C32" s="110">
        <f>SUM(C24:C31)</f>
        <v>615487942.58881056</v>
      </c>
      <c r="D32" s="211">
        <f>SUM(D24:D31)</f>
        <v>-155448679</v>
      </c>
      <c r="E32" s="3"/>
    </row>
    <row r="33" spans="2:5">
      <c r="B33" s="103" t="s">
        <v>109</v>
      </c>
      <c r="C33" s="104"/>
      <c r="D33" s="298"/>
      <c r="E33" s="3"/>
    </row>
    <row r="34" spans="2:5">
      <c r="B34" s="105" t="s">
        <v>110</v>
      </c>
      <c r="C34" s="106">
        <f>+'Balance General'!F44-'Balance General'!G44+'Balance General'!F45-'Balance General'!G45+'Balance General'!F46-'Balance General'!G46</f>
        <v>109426435</v>
      </c>
      <c r="D34" s="106">
        <v>0</v>
      </c>
      <c r="E34" s="3"/>
    </row>
    <row r="35" spans="2:5">
      <c r="B35" s="105" t="s">
        <v>111</v>
      </c>
      <c r="C35" s="371"/>
      <c r="D35" s="106">
        <v>0</v>
      </c>
      <c r="E35" s="3"/>
    </row>
    <row r="36" spans="2:5" hidden="1">
      <c r="B36" s="105" t="s">
        <v>112</v>
      </c>
      <c r="C36" s="106">
        <v>0</v>
      </c>
      <c r="D36" s="106">
        <v>0</v>
      </c>
      <c r="E36" s="3"/>
    </row>
    <row r="37" spans="2:5">
      <c r="B37" s="105" t="s">
        <v>113</v>
      </c>
      <c r="C37" s="371">
        <f>+'Estado de Resultados'!C42</f>
        <v>0</v>
      </c>
      <c r="D37" s="106">
        <v>0</v>
      </c>
      <c r="E37" s="3"/>
    </row>
    <row r="38" spans="2:5" s="49" customFormat="1">
      <c r="B38" s="105" t="s">
        <v>685</v>
      </c>
      <c r="C38" s="371">
        <f>-'Balance General'!G53+'Balance General'!F49-'Balance General'!G49</f>
        <v>-232096735</v>
      </c>
      <c r="D38" s="371">
        <f>-'Balance General'!H53+'Balance General'!G49-'Balance General'!H49</f>
        <v>57662078</v>
      </c>
      <c r="E38" s="3"/>
    </row>
    <row r="39" spans="2:5">
      <c r="B39" s="107" t="s">
        <v>114</v>
      </c>
      <c r="C39" s="110">
        <f>SUM(C34:C38)</f>
        <v>-122670300</v>
      </c>
      <c r="D39" s="211">
        <f>SUM(D34:D38)</f>
        <v>57662078</v>
      </c>
      <c r="E39" s="3"/>
    </row>
    <row r="40" spans="2:5">
      <c r="B40" s="107" t="s">
        <v>342</v>
      </c>
      <c r="C40" s="136">
        <v>0</v>
      </c>
      <c r="D40" s="211">
        <v>0</v>
      </c>
      <c r="E40" s="3"/>
    </row>
    <row r="41" spans="2:5">
      <c r="B41" s="107" t="s">
        <v>115</v>
      </c>
      <c r="C41" s="211">
        <f>+C22+C32+C39+C40</f>
        <v>316148474.2460106</v>
      </c>
      <c r="D41" s="313">
        <f>+D22+D32+D39+D40</f>
        <v>173460932</v>
      </c>
      <c r="E41" s="3"/>
    </row>
    <row r="42" spans="2:5">
      <c r="B42" s="107" t="s">
        <v>116</v>
      </c>
      <c r="C42" s="313">
        <f>+D43</f>
        <v>350053865</v>
      </c>
      <c r="D42" s="370">
        <v>176592933</v>
      </c>
      <c r="E42" s="3"/>
    </row>
    <row r="43" spans="2:5">
      <c r="B43" s="107" t="s">
        <v>117</v>
      </c>
      <c r="C43" s="313">
        <f>+C41+C42</f>
        <v>666202339.24601054</v>
      </c>
      <c r="D43" s="332">
        <f>+D41+D42</f>
        <v>350053865</v>
      </c>
      <c r="E43" s="305"/>
    </row>
    <row r="44" spans="2:5">
      <c r="C44" s="13"/>
      <c r="D44" s="13"/>
    </row>
    <row r="45" spans="2:5">
      <c r="B45" s="200" t="s">
        <v>385</v>
      </c>
      <c r="C45" s="201"/>
      <c r="D45" s="202"/>
      <c r="E45" s="199"/>
    </row>
    <row r="47" spans="2:5">
      <c r="C47" s="13"/>
      <c r="D47" s="13"/>
    </row>
  </sheetData>
  <mergeCells count="6">
    <mergeCell ref="B5:D5"/>
    <mergeCell ref="B4:D4"/>
    <mergeCell ref="B6:D6"/>
    <mergeCell ref="B14:B15"/>
    <mergeCell ref="C14:C15"/>
    <mergeCell ref="D14:D15"/>
  </mergeCells>
  <pageMargins left="0.70866141732283472" right="0.70866141732283472" top="1.1417322834645669" bottom="0.74803149606299213" header="0.31496062992125984" footer="0.31496062992125984"/>
  <pageSetup scale="77"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4:F41"/>
  <sheetViews>
    <sheetView showGridLines="0" topLeftCell="A121" zoomScale="102" zoomScaleNormal="102" workbookViewId="0">
      <selection activeCell="B9" sqref="B9"/>
    </sheetView>
  </sheetViews>
  <sheetFormatPr baseColWidth="10" defaultColWidth="10.6640625" defaultRowHeight="14.4"/>
  <cols>
    <col min="1" max="1" width="5" style="112" customWidth="1"/>
    <col min="2" max="2" width="89.33203125" customWidth="1"/>
    <col min="4" max="4" width="15.44140625" customWidth="1"/>
  </cols>
  <sheetData>
    <row r="4" spans="1:2">
      <c r="A4" s="49"/>
      <c r="B4" s="229" t="s">
        <v>140</v>
      </c>
    </row>
    <row r="5" spans="1:2" s="49" customFormat="1" ht="9.6" customHeight="1"/>
    <row r="6" spans="1:2">
      <c r="A6" s="230" t="s">
        <v>141</v>
      </c>
      <c r="B6" s="7" t="s">
        <v>452</v>
      </c>
    </row>
    <row r="7" spans="1:2">
      <c r="A7" s="8"/>
      <c r="B7" s="49"/>
    </row>
    <row r="8" spans="1:2" ht="43.2">
      <c r="A8" s="49"/>
      <c r="B8" s="8" t="s">
        <v>771</v>
      </c>
    </row>
    <row r="9" spans="1:2" ht="4.95" customHeight="1">
      <c r="A9" s="49"/>
      <c r="B9" s="231" t="s">
        <v>373</v>
      </c>
    </row>
    <row r="10" spans="1:2">
      <c r="A10" s="49"/>
      <c r="B10" s="49"/>
    </row>
    <row r="11" spans="1:2">
      <c r="A11" s="230" t="s">
        <v>142</v>
      </c>
      <c r="B11" s="7" t="s">
        <v>453</v>
      </c>
    </row>
    <row r="12" spans="1:2">
      <c r="A12" s="49"/>
      <c r="B12" s="49"/>
    </row>
    <row r="13" spans="1:2">
      <c r="A13" s="49"/>
      <c r="B13" s="230" t="s">
        <v>143</v>
      </c>
    </row>
    <row r="14" spans="1:2" ht="28.8">
      <c r="A14" s="49"/>
      <c r="B14" s="230" t="s">
        <v>454</v>
      </c>
    </row>
    <row r="15" spans="1:2" ht="86.4">
      <c r="A15" s="49"/>
      <c r="B15" s="8" t="s">
        <v>455</v>
      </c>
    </row>
    <row r="16" spans="1:2" ht="28.8">
      <c r="A16" s="49"/>
      <c r="B16" s="8" t="s">
        <v>144</v>
      </c>
    </row>
    <row r="17" spans="1:2" ht="72">
      <c r="A17" s="49"/>
      <c r="B17" s="8" t="s">
        <v>145</v>
      </c>
    </row>
    <row r="18" spans="1:2">
      <c r="A18" s="49"/>
      <c r="B18" s="49"/>
    </row>
    <row r="19" spans="1:2">
      <c r="A19" s="49"/>
      <c r="B19" s="230" t="s">
        <v>146</v>
      </c>
    </row>
    <row r="20" spans="1:2">
      <c r="A20" s="49"/>
      <c r="B20" s="8" t="s">
        <v>456</v>
      </c>
    </row>
    <row r="21" spans="1:2" ht="47.7" customHeight="1">
      <c r="A21" s="49"/>
      <c r="B21" s="49"/>
    </row>
    <row r="22" spans="1:2">
      <c r="A22" s="49"/>
      <c r="B22" s="49"/>
    </row>
    <row r="23" spans="1:2">
      <c r="A23" s="230" t="s">
        <v>147</v>
      </c>
      <c r="B23" s="7" t="s">
        <v>457</v>
      </c>
    </row>
    <row r="24" spans="1:2" ht="43.2">
      <c r="A24" s="49"/>
      <c r="B24" s="361" t="s">
        <v>732</v>
      </c>
    </row>
    <row r="25" spans="1:2">
      <c r="A25" s="49"/>
      <c r="B25" s="49"/>
    </row>
    <row r="26" spans="1:2" ht="115.2">
      <c r="A26" s="49"/>
      <c r="B26" s="8" t="s">
        <v>458</v>
      </c>
    </row>
    <row r="27" spans="1:2">
      <c r="A27" s="49"/>
      <c r="B27" s="49"/>
    </row>
    <row r="28" spans="1:2" ht="28.8">
      <c r="A28" s="49"/>
      <c r="B28" s="8" t="s">
        <v>459</v>
      </c>
    </row>
    <row r="29" spans="1:2">
      <c r="A29" s="49"/>
      <c r="B29" s="8" t="s">
        <v>148</v>
      </c>
    </row>
    <row r="30" spans="1:2">
      <c r="A30" s="49"/>
      <c r="B30" s="49"/>
    </row>
    <row r="31" spans="1:2" ht="28.8">
      <c r="A31" s="49"/>
      <c r="B31" s="8" t="s">
        <v>460</v>
      </c>
    </row>
    <row r="32" spans="1:2">
      <c r="A32" s="49"/>
      <c r="B32" s="8"/>
    </row>
    <row r="33" spans="1:6" ht="72">
      <c r="A33" s="49"/>
      <c r="B33" s="8" t="s">
        <v>149</v>
      </c>
    </row>
    <row r="34" spans="1:6">
      <c r="A34" s="49"/>
      <c r="B34" s="49"/>
    </row>
    <row r="35" spans="1:6">
      <c r="A35" s="49"/>
      <c r="B35" s="8" t="s">
        <v>150</v>
      </c>
    </row>
    <row r="36" spans="1:6">
      <c r="A36" s="49"/>
      <c r="B36" s="49"/>
    </row>
    <row r="37" spans="1:6">
      <c r="A37" s="230" t="s">
        <v>151</v>
      </c>
      <c r="B37" s="7" t="s">
        <v>461</v>
      </c>
    </row>
    <row r="38" spans="1:6">
      <c r="A38" s="49"/>
      <c r="B38" s="8" t="s">
        <v>752</v>
      </c>
    </row>
    <row r="40" spans="1:6">
      <c r="B40" s="5"/>
      <c r="C40" s="52"/>
      <c r="D40" s="468"/>
      <c r="E40" s="468"/>
      <c r="F40" s="468"/>
    </row>
    <row r="41" spans="1:6">
      <c r="B41" s="5"/>
      <c r="C41" s="51"/>
      <c r="D41" s="460"/>
      <c r="E41" s="460"/>
      <c r="F41" s="460"/>
    </row>
  </sheetData>
  <mergeCells count="2">
    <mergeCell ref="D40:F40"/>
    <mergeCell ref="D41:F41"/>
  </mergeCells>
  <pageMargins left="0.70866141732283472" right="0.70866141732283472" top="1.3385826771653544" bottom="0.74803149606299213" header="0.31496062992125984" footer="0.31496062992125984"/>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3:J43"/>
  <sheetViews>
    <sheetView showGridLines="0" topLeftCell="A16" zoomScale="102" zoomScaleNormal="102" workbookViewId="0">
      <selection activeCell="D36" sqref="D36"/>
    </sheetView>
  </sheetViews>
  <sheetFormatPr baseColWidth="10" defaultColWidth="10.6640625" defaultRowHeight="14.4"/>
  <cols>
    <col min="1" max="1" width="7" customWidth="1"/>
    <col min="2" max="2" width="37.44140625" bestFit="1" customWidth="1"/>
    <col min="3" max="3" width="17.33203125" customWidth="1"/>
    <col min="4" max="4" width="19.44140625" customWidth="1"/>
    <col min="5" max="5" width="15" customWidth="1"/>
    <col min="6" max="6" width="14" customWidth="1"/>
    <col min="9" max="9" width="16.5546875" customWidth="1"/>
    <col min="10" max="10" width="11.6640625" bestFit="1" customWidth="1"/>
  </cols>
  <sheetData>
    <row r="3" spans="1:5" s="49" customFormat="1"/>
    <row r="4" spans="1:5">
      <c r="A4" s="173" t="s">
        <v>437</v>
      </c>
      <c r="B4" s="178" t="s">
        <v>425</v>
      </c>
      <c r="C4" s="179"/>
      <c r="D4" s="179"/>
      <c r="E4" s="179"/>
    </row>
    <row r="5" spans="1:5">
      <c r="B5" s="178" t="s">
        <v>152</v>
      </c>
      <c r="C5" s="179"/>
      <c r="D5" s="179"/>
      <c r="E5" s="179"/>
    </row>
    <row r="6" spans="1:5" ht="37.5" customHeight="1">
      <c r="B6" s="469" t="s">
        <v>153</v>
      </c>
      <c r="C6" s="469"/>
      <c r="D6" s="469"/>
      <c r="E6" s="469"/>
    </row>
    <row r="8" spans="1:5">
      <c r="B8" s="470"/>
      <c r="C8" s="218" t="s">
        <v>154</v>
      </c>
      <c r="D8" s="218" t="s">
        <v>156</v>
      </c>
    </row>
    <row r="9" spans="1:5" ht="12.6" customHeight="1">
      <c r="B9" s="470"/>
      <c r="C9" s="218" t="s">
        <v>155</v>
      </c>
      <c r="D9" s="218" t="s">
        <v>157</v>
      </c>
    </row>
    <row r="10" spans="1:5">
      <c r="B10" s="59" t="s">
        <v>158</v>
      </c>
      <c r="C10" s="91">
        <v>7166.48</v>
      </c>
      <c r="D10" s="92">
        <v>6921.52</v>
      </c>
    </row>
    <row r="11" spans="1:5">
      <c r="B11" s="59" t="s">
        <v>159</v>
      </c>
      <c r="C11" s="91">
        <v>7169.7</v>
      </c>
      <c r="D11" s="92">
        <v>6931.47</v>
      </c>
    </row>
    <row r="13" spans="1:5">
      <c r="B13" s="178" t="s">
        <v>160</v>
      </c>
    </row>
    <row r="14" spans="1:5">
      <c r="B14" s="179"/>
    </row>
    <row r="15" spans="1:5">
      <c r="B15" s="476" t="s">
        <v>161</v>
      </c>
      <c r="C15" s="476"/>
    </row>
    <row r="17" spans="2:10" ht="15" customHeight="1">
      <c r="B17" s="472" t="s">
        <v>162</v>
      </c>
      <c r="C17" s="472" t="s">
        <v>163</v>
      </c>
      <c r="D17" s="472" t="s">
        <v>164</v>
      </c>
      <c r="E17" s="471" t="s">
        <v>165</v>
      </c>
      <c r="F17" s="471" t="s">
        <v>166</v>
      </c>
      <c r="G17" s="471" t="s">
        <v>322</v>
      </c>
      <c r="H17" s="471" t="s">
        <v>167</v>
      </c>
      <c r="I17" s="471" t="s">
        <v>321</v>
      </c>
    </row>
    <row r="18" spans="2:10">
      <c r="B18" s="473"/>
      <c r="C18" s="473"/>
      <c r="D18" s="473"/>
      <c r="E18" s="471"/>
      <c r="F18" s="471"/>
      <c r="G18" s="471"/>
      <c r="H18" s="471"/>
      <c r="I18" s="471"/>
    </row>
    <row r="19" spans="2:10">
      <c r="B19" s="474"/>
      <c r="C19" s="474"/>
      <c r="D19" s="474"/>
      <c r="E19" s="471"/>
      <c r="F19" s="471"/>
      <c r="G19" s="471"/>
      <c r="H19" s="471"/>
      <c r="I19" s="471"/>
    </row>
    <row r="20" spans="2:10">
      <c r="B20" s="93" t="s">
        <v>168</v>
      </c>
      <c r="C20" s="94"/>
      <c r="D20" s="138"/>
      <c r="E20" s="94"/>
      <c r="F20" s="94"/>
      <c r="G20" s="94"/>
      <c r="H20" s="94"/>
      <c r="I20" s="94"/>
    </row>
    <row r="21" spans="2:10">
      <c r="B21" s="95" t="s">
        <v>169</v>
      </c>
      <c r="C21" s="94"/>
      <c r="D21" s="138"/>
      <c r="E21" s="94"/>
      <c r="F21" s="94"/>
      <c r="G21" s="94"/>
      <c r="H21" s="94"/>
      <c r="I21" s="94"/>
    </row>
    <row r="22" spans="2:10">
      <c r="B22" s="96" t="s">
        <v>613</v>
      </c>
      <c r="C22" s="97" t="s">
        <v>357</v>
      </c>
      <c r="D22" s="92">
        <v>77898.649999999994</v>
      </c>
      <c r="E22" s="92">
        <f t="shared" ref="E22:E27" si="0">+$C$10</f>
        <v>7166.48</v>
      </c>
      <c r="F22" s="98">
        <f t="shared" ref="F22:F27" si="1">+D22*E22</f>
        <v>558259117.25199997</v>
      </c>
      <c r="G22" s="97">
        <v>677.38999999999942</v>
      </c>
      <c r="H22" s="92">
        <f>+$D$10</f>
        <v>6921.52</v>
      </c>
      <c r="I22" s="98">
        <f t="shared" ref="I22:I29" si="2">+G22*H22</f>
        <v>4688568.4327999959</v>
      </c>
      <c r="J22" s="13"/>
    </row>
    <row r="23" spans="2:10" s="49" customFormat="1">
      <c r="B23" s="96" t="s">
        <v>760</v>
      </c>
      <c r="C23" s="97" t="s">
        <v>357</v>
      </c>
      <c r="D23" s="92">
        <v>1121.8699999999999</v>
      </c>
      <c r="E23" s="92">
        <f t="shared" si="0"/>
        <v>7166.48</v>
      </c>
      <c r="F23" s="98">
        <f t="shared" ref="F23" si="3">+D23*E23</f>
        <v>8039858.9175999984</v>
      </c>
      <c r="G23" s="97"/>
      <c r="H23" s="92"/>
      <c r="I23" s="98"/>
      <c r="J23" s="13"/>
    </row>
    <row r="24" spans="2:10">
      <c r="B24" s="137" t="s">
        <v>614</v>
      </c>
      <c r="C24" s="97" t="s">
        <v>357</v>
      </c>
      <c r="D24" s="92">
        <v>0</v>
      </c>
      <c r="E24" s="92">
        <f t="shared" si="0"/>
        <v>7166.48</v>
      </c>
      <c r="F24" s="98">
        <f t="shared" si="1"/>
        <v>0</v>
      </c>
      <c r="G24" s="97">
        <v>100.04</v>
      </c>
      <c r="H24" s="92">
        <f t="shared" ref="H24:H27" si="4">+$D$10</f>
        <v>6921.52</v>
      </c>
      <c r="I24" s="98">
        <f t="shared" si="2"/>
        <v>692428.86080000014</v>
      </c>
      <c r="J24" s="13"/>
    </row>
    <row r="25" spans="2:10">
      <c r="B25" s="96" t="s">
        <v>615</v>
      </c>
      <c r="C25" s="97" t="s">
        <v>357</v>
      </c>
      <c r="D25" s="92">
        <v>7968.17</v>
      </c>
      <c r="E25" s="92">
        <f t="shared" si="0"/>
        <v>7166.48</v>
      </c>
      <c r="F25" s="98">
        <f t="shared" si="1"/>
        <v>57103730.941599995</v>
      </c>
      <c r="G25" s="97">
        <v>0</v>
      </c>
      <c r="H25" s="92">
        <f t="shared" si="4"/>
        <v>6921.52</v>
      </c>
      <c r="I25" s="98">
        <f t="shared" si="2"/>
        <v>0</v>
      </c>
    </row>
    <row r="26" spans="2:10" s="49" customFormat="1">
      <c r="B26" s="96" t="s">
        <v>616</v>
      </c>
      <c r="C26" s="97" t="s">
        <v>357</v>
      </c>
      <c r="D26" s="92">
        <v>1740.14</v>
      </c>
      <c r="E26" s="92">
        <f t="shared" si="0"/>
        <v>7166.48</v>
      </c>
      <c r="F26" s="98">
        <f t="shared" si="1"/>
        <v>12470678.507200001</v>
      </c>
      <c r="G26" s="97">
        <v>75000</v>
      </c>
      <c r="H26" s="92">
        <f t="shared" si="4"/>
        <v>6921.52</v>
      </c>
      <c r="I26" s="98">
        <f t="shared" si="2"/>
        <v>519114000.00000006</v>
      </c>
    </row>
    <row r="27" spans="2:10" s="49" customFormat="1">
      <c r="B27" s="96" t="s">
        <v>617</v>
      </c>
      <c r="C27" s="97" t="s">
        <v>357</v>
      </c>
      <c r="D27" s="92">
        <v>3034.05</v>
      </c>
      <c r="E27" s="92">
        <f t="shared" si="0"/>
        <v>7166.48</v>
      </c>
      <c r="F27" s="98">
        <f t="shared" si="1"/>
        <v>21743458.644000001</v>
      </c>
      <c r="G27" s="97">
        <v>392.96000000000276</v>
      </c>
      <c r="H27" s="92">
        <f t="shared" si="4"/>
        <v>6921.52</v>
      </c>
      <c r="I27" s="98">
        <f t="shared" si="2"/>
        <v>2719880.4992000195</v>
      </c>
    </row>
    <row r="28" spans="2:10" s="49" customFormat="1">
      <c r="B28" s="95" t="s">
        <v>381</v>
      </c>
      <c r="C28" s="97"/>
      <c r="D28" s="92"/>
      <c r="E28" s="92"/>
      <c r="F28" s="98"/>
      <c r="G28" s="97"/>
      <c r="H28" s="92"/>
      <c r="I28" s="98"/>
    </row>
    <row r="29" spans="2:10" s="49" customFormat="1">
      <c r="B29" s="96" t="s">
        <v>618</v>
      </c>
      <c r="C29" s="97" t="s">
        <v>357</v>
      </c>
      <c r="D29" s="92">
        <v>13233.24</v>
      </c>
      <c r="E29" s="92">
        <f>+C11</f>
        <v>7169.7</v>
      </c>
      <c r="F29" s="98">
        <f>+D29*E29</f>
        <v>94878360.827999994</v>
      </c>
      <c r="G29" s="97">
        <v>0</v>
      </c>
      <c r="H29" s="92"/>
      <c r="I29" s="98">
        <f t="shared" si="2"/>
        <v>0</v>
      </c>
    </row>
    <row r="30" spans="2:10">
      <c r="B30" s="96"/>
      <c r="C30" s="97"/>
      <c r="D30" s="92"/>
      <c r="E30" s="92"/>
      <c r="F30" s="98"/>
      <c r="G30" s="92"/>
      <c r="H30" s="92"/>
      <c r="I30" s="98"/>
    </row>
    <row r="32" spans="2:10">
      <c r="B32" s="475" t="s">
        <v>170</v>
      </c>
      <c r="C32" s="475"/>
    </row>
    <row r="34" spans="2:6" ht="30.6">
      <c r="B34" s="228" t="s">
        <v>171</v>
      </c>
      <c r="C34" s="228" t="s">
        <v>172</v>
      </c>
      <c r="D34" s="228" t="s">
        <v>173</v>
      </c>
      <c r="E34" s="228" t="s">
        <v>174</v>
      </c>
      <c r="F34" s="228" t="s">
        <v>175</v>
      </c>
    </row>
    <row r="35" spans="2:6" ht="20.399999999999999">
      <c r="B35" s="300" t="s">
        <v>663</v>
      </c>
      <c r="C35" s="146">
        <f>+C10</f>
        <v>7166.48</v>
      </c>
      <c r="D35" s="147">
        <v>10151807</v>
      </c>
      <c r="E35" s="148">
        <f>+D10</f>
        <v>6921.52</v>
      </c>
      <c r="F35" s="299">
        <v>12250528</v>
      </c>
    </row>
    <row r="36" spans="2:6" ht="20.399999999999999">
      <c r="B36" s="300" t="s">
        <v>664</v>
      </c>
      <c r="C36" s="146">
        <f>+C10</f>
        <v>7166.48</v>
      </c>
      <c r="D36" s="147">
        <v>-27528563</v>
      </c>
      <c r="E36" s="156">
        <f>+D11</f>
        <v>6931.47</v>
      </c>
      <c r="F36" s="299">
        <v>-7854537</v>
      </c>
    </row>
    <row r="37" spans="2:6">
      <c r="B37" s="99"/>
      <c r="C37" s="92"/>
      <c r="D37" s="98"/>
      <c r="E37" s="100"/>
      <c r="F37" s="101"/>
    </row>
    <row r="38" spans="2:6">
      <c r="B38" s="99"/>
      <c r="C38" s="92"/>
      <c r="D38" s="98"/>
      <c r="E38" s="100"/>
      <c r="F38" s="101"/>
    </row>
    <row r="39" spans="2:6">
      <c r="B39" s="9"/>
      <c r="C39" s="10"/>
      <c r="D39" s="11"/>
      <c r="E39" s="10"/>
      <c r="F39" s="11"/>
    </row>
    <row r="40" spans="2:6">
      <c r="B40" s="9"/>
      <c r="C40" s="10"/>
      <c r="D40" s="11"/>
      <c r="E40" s="10"/>
      <c r="F40" s="11"/>
    </row>
    <row r="41" spans="2:6">
      <c r="B41" s="9"/>
      <c r="C41" s="10"/>
      <c r="D41" s="11"/>
      <c r="E41" s="10"/>
      <c r="F41" s="11"/>
    </row>
    <row r="42" spans="2:6">
      <c r="B42" s="9"/>
      <c r="C42" s="10"/>
      <c r="D42" s="11"/>
      <c r="E42" s="10"/>
      <c r="F42" s="11"/>
    </row>
    <row r="43" spans="2:6">
      <c r="B43" s="9"/>
      <c r="C43" s="10"/>
      <c r="D43" s="11"/>
      <c r="E43" s="10"/>
      <c r="F43" s="11"/>
    </row>
  </sheetData>
  <mergeCells count="12">
    <mergeCell ref="B32:C32"/>
    <mergeCell ref="B15:C15"/>
    <mergeCell ref="I17:I19"/>
    <mergeCell ref="H17:H19"/>
    <mergeCell ref="G17:G19"/>
    <mergeCell ref="B6:E6"/>
    <mergeCell ref="B8:B9"/>
    <mergeCell ref="E17:E19"/>
    <mergeCell ref="F17:F19"/>
    <mergeCell ref="C17:C19"/>
    <mergeCell ref="D17:D19"/>
    <mergeCell ref="B17:B19"/>
  </mergeCells>
  <pageMargins left="0.70866141732283472" right="0.70866141732283472" top="1.1417322834645669" bottom="0.74803149606299213" header="0.31496062992125984" footer="0.31496062992125984"/>
  <pageSetup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2:N112"/>
  <sheetViews>
    <sheetView showGridLines="0" topLeftCell="A25" zoomScaleNormal="100" workbookViewId="0">
      <selection activeCell="E59" sqref="E59"/>
    </sheetView>
  </sheetViews>
  <sheetFormatPr baseColWidth="10" defaultColWidth="10.6640625" defaultRowHeight="14.4"/>
  <cols>
    <col min="1" max="1" width="4.33203125" customWidth="1"/>
    <col min="2" max="2" width="53.6640625" customWidth="1"/>
    <col min="3" max="3" width="18.33203125" customWidth="1"/>
    <col min="4" max="4" width="21.33203125" bestFit="1" customWidth="1"/>
    <col min="5" max="5" width="23" bestFit="1" customWidth="1"/>
    <col min="6" max="6" width="14" customWidth="1"/>
    <col min="7" max="7" width="13.33203125" bestFit="1" customWidth="1"/>
    <col min="8" max="8" width="15.44140625" customWidth="1"/>
    <col min="9" max="9" width="13.33203125" bestFit="1" customWidth="1"/>
    <col min="12" max="12" width="11.33203125" bestFit="1" customWidth="1"/>
  </cols>
  <sheetData>
    <row r="2" spans="2:5" s="49" customFormat="1"/>
    <row r="3" spans="2:5" ht="20.7" customHeight="1">
      <c r="B3" s="178" t="s">
        <v>176</v>
      </c>
      <c r="C3" s="179"/>
      <c r="D3" s="179"/>
      <c r="E3" s="179"/>
    </row>
    <row r="4" spans="2:5">
      <c r="B4" s="483" t="s">
        <v>177</v>
      </c>
      <c r="C4" s="483"/>
      <c r="D4" s="483"/>
      <c r="E4" s="483"/>
    </row>
    <row r="6" spans="2:5">
      <c r="B6" s="485" t="s">
        <v>178</v>
      </c>
      <c r="C6" s="485" t="s">
        <v>179</v>
      </c>
      <c r="D6" s="477" t="s">
        <v>180</v>
      </c>
    </row>
    <row r="7" spans="2:5">
      <c r="B7" s="485"/>
      <c r="C7" s="485"/>
      <c r="D7" s="477"/>
    </row>
    <row r="8" spans="2:5">
      <c r="B8" s="43" t="s">
        <v>181</v>
      </c>
      <c r="C8" s="44">
        <v>0</v>
      </c>
      <c r="D8" s="44">
        <v>0</v>
      </c>
    </row>
    <row r="9" spans="2:5" s="49" customFormat="1">
      <c r="B9" s="43" t="s">
        <v>619</v>
      </c>
      <c r="C9" s="44">
        <v>10651066</v>
      </c>
      <c r="D9" s="44">
        <v>8011063</v>
      </c>
    </row>
    <row r="10" spans="2:5" s="49" customFormat="1">
      <c r="B10" s="43" t="s">
        <v>613</v>
      </c>
      <c r="C10" s="44">
        <v>558178155</v>
      </c>
      <c r="D10" s="44">
        <v>4688569</v>
      </c>
    </row>
    <row r="11" spans="2:5" s="49" customFormat="1">
      <c r="B11" s="43" t="s">
        <v>620</v>
      </c>
      <c r="C11" s="44">
        <v>8453116</v>
      </c>
      <c r="D11" s="44">
        <v>65384535</v>
      </c>
    </row>
    <row r="12" spans="2:5" s="49" customFormat="1">
      <c r="B12" s="43" t="s">
        <v>761</v>
      </c>
      <c r="C12" s="44">
        <v>200793</v>
      </c>
      <c r="D12" s="44">
        <v>0</v>
      </c>
    </row>
    <row r="13" spans="2:5" s="49" customFormat="1">
      <c r="B13" s="43" t="s">
        <v>762</v>
      </c>
      <c r="C13" s="44">
        <v>8039859</v>
      </c>
      <c r="D13" s="44">
        <v>0</v>
      </c>
    </row>
    <row r="14" spans="2:5" s="49" customFormat="1">
      <c r="B14" s="43" t="s">
        <v>621</v>
      </c>
      <c r="C14" s="44"/>
      <c r="D14" s="44">
        <v>200166</v>
      </c>
    </row>
    <row r="15" spans="2:5" s="49" customFormat="1">
      <c r="B15" s="43" t="s">
        <v>614</v>
      </c>
      <c r="C15" s="44"/>
      <c r="D15" s="44">
        <v>692429</v>
      </c>
    </row>
    <row r="16" spans="2:5" s="49" customFormat="1">
      <c r="B16" s="43" t="s">
        <v>622</v>
      </c>
      <c r="C16" s="44">
        <v>514445</v>
      </c>
      <c r="D16" s="44">
        <v>513423</v>
      </c>
    </row>
    <row r="17" spans="2:9">
      <c r="B17" s="43" t="s">
        <v>623</v>
      </c>
      <c r="C17" s="44">
        <v>3644830</v>
      </c>
      <c r="D17" s="44">
        <v>29546672</v>
      </c>
    </row>
    <row r="18" spans="2:9" s="49" customFormat="1">
      <c r="B18" s="43" t="s">
        <v>624</v>
      </c>
      <c r="C18" s="44">
        <v>3293622</v>
      </c>
      <c r="D18" s="44">
        <v>9699722</v>
      </c>
    </row>
    <row r="19" spans="2:9" s="49" customFormat="1">
      <c r="B19" s="43" t="s">
        <v>615</v>
      </c>
      <c r="C19" s="44">
        <v>9699722</v>
      </c>
      <c r="D19" s="44">
        <v>224477676</v>
      </c>
    </row>
    <row r="20" spans="2:9">
      <c r="B20" s="43" t="s">
        <v>626</v>
      </c>
      <c r="C20" s="44">
        <v>57103731</v>
      </c>
      <c r="D20" s="44">
        <v>6839610</v>
      </c>
      <c r="E20" s="49"/>
      <c r="F20" s="49"/>
    </row>
    <row r="21" spans="2:9" s="49" customFormat="1">
      <c r="B21" s="43" t="s">
        <v>625</v>
      </c>
      <c r="C21" s="44">
        <v>6423000</v>
      </c>
      <c r="D21" s="44">
        <v>0</v>
      </c>
    </row>
    <row r="22" spans="2:9">
      <c r="B22" s="45" t="s">
        <v>182</v>
      </c>
      <c r="C22" s="46">
        <f>SUM(C8:C21)</f>
        <v>666202339</v>
      </c>
      <c r="D22" s="46">
        <f>SUM(D8:D21)</f>
        <v>350053865</v>
      </c>
      <c r="E22" s="49"/>
      <c r="F22" s="49"/>
    </row>
    <row r="23" spans="2:9">
      <c r="E23" s="49"/>
      <c r="F23" s="49"/>
    </row>
    <row r="24" spans="2:9">
      <c r="B24" s="178" t="s">
        <v>183</v>
      </c>
      <c r="C24" s="179"/>
      <c r="D24" s="179"/>
      <c r="E24" s="49"/>
      <c r="F24" s="49"/>
    </row>
    <row r="25" spans="2:9">
      <c r="B25" s="483" t="s">
        <v>184</v>
      </c>
      <c r="C25" s="483"/>
      <c r="D25" s="483"/>
    </row>
    <row r="27" spans="2:9">
      <c r="B27" s="461" t="s">
        <v>185</v>
      </c>
      <c r="C27" s="461"/>
      <c r="D27" s="461"/>
      <c r="E27" s="461"/>
      <c r="F27" s="461"/>
      <c r="G27" s="461" t="s">
        <v>186</v>
      </c>
      <c r="H27" s="461"/>
      <c r="I27" s="461"/>
    </row>
    <row r="28" spans="2:9" ht="18" customHeight="1">
      <c r="B28" s="114"/>
      <c r="C28" s="114" t="s">
        <v>187</v>
      </c>
      <c r="D28" s="480" t="s">
        <v>188</v>
      </c>
      <c r="E28" s="480" t="s">
        <v>189</v>
      </c>
      <c r="F28" s="114" t="s">
        <v>190</v>
      </c>
      <c r="G28" s="114"/>
      <c r="H28" s="114"/>
      <c r="I28" s="114" t="s">
        <v>192</v>
      </c>
    </row>
    <row r="29" spans="2:9">
      <c r="B29" s="114" t="s">
        <v>193</v>
      </c>
      <c r="C29" s="114" t="s">
        <v>194</v>
      </c>
      <c r="D29" s="480"/>
      <c r="E29" s="480"/>
      <c r="F29" s="114" t="s">
        <v>195</v>
      </c>
      <c r="G29" s="114" t="s">
        <v>121</v>
      </c>
      <c r="H29" s="114" t="s">
        <v>191</v>
      </c>
      <c r="I29" s="114" t="s">
        <v>196</v>
      </c>
    </row>
    <row r="30" spans="2:9">
      <c r="B30" s="115" t="s">
        <v>197</v>
      </c>
      <c r="C30" s="116"/>
      <c r="D30" s="117"/>
      <c r="E30" s="118"/>
      <c r="F30" s="118"/>
      <c r="G30" s="117"/>
      <c r="H30" s="117"/>
      <c r="I30" s="117"/>
    </row>
    <row r="31" spans="2:9">
      <c r="B31" s="133" t="s">
        <v>358</v>
      </c>
      <c r="C31" s="134" t="s">
        <v>359</v>
      </c>
      <c r="D31" s="134">
        <v>1</v>
      </c>
      <c r="E31" s="60">
        <v>200000000</v>
      </c>
      <c r="F31" s="60">
        <v>1002000000</v>
      </c>
      <c r="G31" s="135">
        <v>8800000000</v>
      </c>
      <c r="H31" s="135">
        <v>0</v>
      </c>
      <c r="I31" s="135">
        <v>0</v>
      </c>
    </row>
    <row r="32" spans="2:9">
      <c r="B32" s="71"/>
      <c r="C32" s="78"/>
      <c r="D32" s="78"/>
      <c r="E32" s="62"/>
      <c r="F32" s="61"/>
      <c r="G32" s="78"/>
      <c r="H32" s="78"/>
      <c r="I32" s="78"/>
    </row>
    <row r="33" spans="2:9">
      <c r="B33" s="481" t="s">
        <v>198</v>
      </c>
      <c r="C33" s="481"/>
      <c r="D33" s="481"/>
      <c r="E33" s="227">
        <v>0</v>
      </c>
      <c r="F33" s="227">
        <f>SUM(F31:F32)</f>
        <v>1002000000</v>
      </c>
      <c r="G33" s="78"/>
      <c r="H33" s="78"/>
      <c r="I33" s="78"/>
    </row>
    <row r="34" spans="2:9">
      <c r="B34" s="482" t="s">
        <v>199</v>
      </c>
      <c r="C34" s="482"/>
      <c r="D34" s="482"/>
      <c r="E34" s="66">
        <v>0</v>
      </c>
      <c r="F34" s="79">
        <v>0</v>
      </c>
      <c r="G34" s="78"/>
      <c r="H34" s="78"/>
      <c r="I34" s="78"/>
    </row>
    <row r="36" spans="2:9">
      <c r="B36" s="178" t="s">
        <v>200</v>
      </c>
      <c r="C36" s="179"/>
      <c r="D36" s="179"/>
      <c r="E36" s="179"/>
      <c r="F36" s="179"/>
    </row>
    <row r="37" spans="2:9" ht="47.25" customHeight="1">
      <c r="B37" s="469" t="s">
        <v>713</v>
      </c>
      <c r="C37" s="469"/>
      <c r="D37" s="469"/>
      <c r="E37" s="469"/>
      <c r="F37" s="469"/>
      <c r="G37" s="318"/>
    </row>
    <row r="38" spans="2:9" ht="27" customHeight="1">
      <c r="B38" s="218" t="s">
        <v>6</v>
      </c>
      <c r="C38" s="218" t="s">
        <v>201</v>
      </c>
      <c r="D38" s="218" t="s">
        <v>202</v>
      </c>
      <c r="E38" s="218" t="s">
        <v>203</v>
      </c>
    </row>
    <row r="39" spans="2:9" s="20" customFormat="1">
      <c r="B39" s="80" t="s">
        <v>204</v>
      </c>
      <c r="C39" s="81">
        <v>200000000</v>
      </c>
      <c r="D39" s="82"/>
      <c r="E39" s="81">
        <v>1002000000</v>
      </c>
    </row>
    <row r="40" spans="2:9">
      <c r="B40" s="59" t="s">
        <v>205</v>
      </c>
      <c r="C40" s="81">
        <v>200000000</v>
      </c>
      <c r="D40" s="81">
        <v>516375371</v>
      </c>
      <c r="E40" s="82">
        <v>900000000</v>
      </c>
    </row>
    <row r="42" spans="2:9">
      <c r="B42" s="178" t="s">
        <v>206</v>
      </c>
      <c r="C42" s="179"/>
      <c r="D42" s="179"/>
      <c r="E42" s="179"/>
      <c r="F42" s="179"/>
    </row>
    <row r="43" spans="2:9">
      <c r="B43" s="483" t="s">
        <v>184</v>
      </c>
      <c r="C43" s="483"/>
      <c r="D43" s="483"/>
      <c r="E43" s="483"/>
      <c r="F43" s="483"/>
    </row>
    <row r="44" spans="2:9">
      <c r="B44" s="182"/>
      <c r="C44" s="179"/>
      <c r="D44" s="179"/>
      <c r="E44" s="179"/>
      <c r="F44" s="179"/>
    </row>
    <row r="45" spans="2:9">
      <c r="B45" s="484" t="s">
        <v>423</v>
      </c>
      <c r="C45" s="484"/>
      <c r="D45" s="179"/>
      <c r="E45" s="179"/>
      <c r="F45" s="179"/>
    </row>
    <row r="46" spans="2:9">
      <c r="B46" s="478" t="s">
        <v>171</v>
      </c>
      <c r="C46" s="478" t="s">
        <v>179</v>
      </c>
      <c r="D46" s="478" t="s">
        <v>207</v>
      </c>
    </row>
    <row r="47" spans="2:9" ht="6.6" customHeight="1">
      <c r="B47" s="478"/>
      <c r="C47" s="478"/>
      <c r="D47" s="478"/>
    </row>
    <row r="48" spans="2:9">
      <c r="B48" s="68" t="s">
        <v>627</v>
      </c>
      <c r="C48" s="83">
        <v>0</v>
      </c>
      <c r="D48" s="83">
        <v>0</v>
      </c>
    </row>
    <row r="49" spans="2:13">
      <c r="B49" s="68" t="s">
        <v>628</v>
      </c>
      <c r="C49" s="83">
        <v>0</v>
      </c>
      <c r="D49" s="83">
        <v>0</v>
      </c>
    </row>
    <row r="50" spans="2:13">
      <c r="B50" s="70" t="s">
        <v>208</v>
      </c>
      <c r="C50" s="84">
        <f>+C49+C48</f>
        <v>0</v>
      </c>
      <c r="D50" s="84">
        <f>+D49+D48</f>
        <v>0</v>
      </c>
    </row>
    <row r="52" spans="2:13">
      <c r="B52" s="178" t="s">
        <v>424</v>
      </c>
    </row>
    <row r="53" spans="2:13">
      <c r="B53" s="479" t="s">
        <v>361</v>
      </c>
      <c r="C53" s="479" t="s">
        <v>179</v>
      </c>
      <c r="D53" s="479" t="s">
        <v>207</v>
      </c>
    </row>
    <row r="54" spans="2:13">
      <c r="B54" s="479"/>
      <c r="C54" s="479"/>
      <c r="D54" s="479"/>
    </row>
    <row r="55" spans="2:13" ht="15.6">
      <c r="B55" s="85" t="s">
        <v>375</v>
      </c>
      <c r="C55" s="86">
        <v>75075091</v>
      </c>
      <c r="D55" s="86">
        <v>71666750</v>
      </c>
      <c r="E55" s="350"/>
      <c r="G55" s="15"/>
    </row>
    <row r="56" spans="2:13" ht="15.6">
      <c r="B56" s="85" t="s">
        <v>711</v>
      </c>
      <c r="C56" s="86"/>
      <c r="D56" s="87">
        <v>0</v>
      </c>
      <c r="E56" s="351"/>
      <c r="G56" s="15"/>
    </row>
    <row r="57" spans="2:13" ht="15.6">
      <c r="B57" s="88" t="s">
        <v>208</v>
      </c>
      <c r="C57" s="89">
        <f>SUM(C55:C56)</f>
        <v>75075091</v>
      </c>
      <c r="D57" s="89">
        <f>SUM(D55:D56)</f>
        <v>71666750</v>
      </c>
      <c r="E57" s="352"/>
      <c r="G57" s="16"/>
      <c r="I57" s="20"/>
      <c r="J57" s="20"/>
      <c r="K57" s="20"/>
      <c r="L57" s="20"/>
      <c r="M57" s="20"/>
    </row>
    <row r="58" spans="2:13" s="49" customFormat="1" ht="15.6">
      <c r="B58" s="334"/>
      <c r="C58" s="335"/>
      <c r="D58" s="335"/>
      <c r="E58" s="352"/>
      <c r="G58" s="16"/>
      <c r="I58" s="20"/>
      <c r="J58" s="20"/>
      <c r="K58" s="20"/>
      <c r="L58" s="20"/>
      <c r="M58" s="20"/>
    </row>
    <row r="59" spans="2:13" s="49" customFormat="1" ht="15.6">
      <c r="B59" s="334"/>
      <c r="C59" s="335"/>
      <c r="D59" s="335"/>
      <c r="E59" s="352"/>
      <c r="G59" s="16"/>
      <c r="I59" s="20"/>
      <c r="J59" s="20"/>
      <c r="K59" s="20"/>
      <c r="L59" s="20"/>
      <c r="M59" s="20"/>
    </row>
    <row r="60" spans="2:13" s="49" customFormat="1">
      <c r="B60" s="178" t="s">
        <v>705</v>
      </c>
      <c r="E60" s="353"/>
    </row>
    <row r="61" spans="2:13" s="49" customFormat="1">
      <c r="B61" s="479" t="s">
        <v>361</v>
      </c>
      <c r="C61" s="479" t="s">
        <v>179</v>
      </c>
      <c r="D61" s="479" t="s">
        <v>207</v>
      </c>
      <c r="E61" s="353"/>
    </row>
    <row r="62" spans="2:13" s="49" customFormat="1">
      <c r="B62" s="479"/>
      <c r="C62" s="479"/>
      <c r="D62" s="479"/>
      <c r="E62" s="353"/>
    </row>
    <row r="63" spans="2:13" s="49" customFormat="1" ht="15.6">
      <c r="B63" s="85" t="s">
        <v>607</v>
      </c>
      <c r="C63" s="86">
        <v>280997.68080000003</v>
      </c>
      <c r="D63" s="87">
        <v>0</v>
      </c>
      <c r="E63" s="350"/>
      <c r="G63" s="15"/>
    </row>
    <row r="64" spans="2:13" s="49" customFormat="1" ht="15.6">
      <c r="B64" s="85" t="s">
        <v>606</v>
      </c>
      <c r="C64" s="86">
        <v>71879.794399999999</v>
      </c>
      <c r="D64" s="87">
        <v>0</v>
      </c>
      <c r="E64" s="350"/>
      <c r="G64" s="15"/>
    </row>
    <row r="65" spans="2:7" s="49" customFormat="1" ht="15.6">
      <c r="B65" s="85" t="s">
        <v>656</v>
      </c>
      <c r="C65" s="87">
        <v>0</v>
      </c>
      <c r="D65" s="87">
        <v>8941</v>
      </c>
      <c r="E65" s="350"/>
      <c r="G65" s="15"/>
    </row>
    <row r="66" spans="2:7" s="49" customFormat="1" ht="15.6">
      <c r="B66" s="85" t="s">
        <v>706</v>
      </c>
      <c r="C66" s="86">
        <v>0</v>
      </c>
      <c r="D66" s="87">
        <v>55274</v>
      </c>
      <c r="E66" s="350"/>
      <c r="G66" s="15"/>
    </row>
    <row r="67" spans="2:7" s="49" customFormat="1" ht="15.6">
      <c r="B67" s="85" t="s">
        <v>707</v>
      </c>
      <c r="C67" s="86">
        <v>0</v>
      </c>
      <c r="D67" s="87">
        <v>0</v>
      </c>
      <c r="E67" s="350"/>
      <c r="G67" s="15"/>
    </row>
    <row r="68" spans="2:7" s="49" customFormat="1" ht="15.6">
      <c r="B68" s="85" t="s">
        <v>708</v>
      </c>
      <c r="C68" s="86">
        <v>88000000</v>
      </c>
      <c r="D68" s="87">
        <v>66000000</v>
      </c>
      <c r="E68" s="350"/>
      <c r="G68" s="15"/>
    </row>
    <row r="69" spans="2:7" s="49" customFormat="1" ht="15.6">
      <c r="B69" s="85" t="s">
        <v>708</v>
      </c>
      <c r="C69" s="86">
        <v>0</v>
      </c>
      <c r="D69" s="87">
        <v>66000000</v>
      </c>
      <c r="E69" s="350"/>
      <c r="G69" s="15"/>
    </row>
    <row r="70" spans="2:7" s="49" customFormat="1" ht="15.6">
      <c r="B70" s="85" t="s">
        <v>709</v>
      </c>
      <c r="C70" s="86">
        <v>0</v>
      </c>
      <c r="D70" s="87">
        <v>0</v>
      </c>
      <c r="E70" s="350"/>
      <c r="G70" s="15"/>
    </row>
    <row r="71" spans="2:7" s="49" customFormat="1" ht="15.6">
      <c r="B71" s="85" t="s">
        <v>710</v>
      </c>
      <c r="C71" s="86">
        <v>0</v>
      </c>
      <c r="D71" s="87">
        <v>0</v>
      </c>
      <c r="E71" s="350"/>
      <c r="G71" s="15"/>
    </row>
    <row r="72" spans="2:7" s="49" customFormat="1" ht="15.6">
      <c r="B72" s="85" t="s">
        <v>655</v>
      </c>
      <c r="C72" s="86">
        <v>0</v>
      </c>
      <c r="D72" s="87">
        <v>0</v>
      </c>
      <c r="E72" s="350"/>
      <c r="G72" s="15"/>
    </row>
    <row r="73" spans="2:7" s="49" customFormat="1" ht="15.6">
      <c r="B73" s="85" t="s">
        <v>656</v>
      </c>
      <c r="C73" s="87">
        <v>0</v>
      </c>
      <c r="D73" s="87">
        <v>2203809</v>
      </c>
      <c r="E73" s="350"/>
      <c r="G73" s="15"/>
    </row>
    <row r="74" spans="2:7" s="49" customFormat="1" ht="15.6">
      <c r="B74" s="85" t="s">
        <v>733</v>
      </c>
      <c r="C74" s="86">
        <v>23649384</v>
      </c>
      <c r="D74" s="87">
        <v>96236935</v>
      </c>
      <c r="E74" s="350"/>
      <c r="G74" s="15"/>
    </row>
    <row r="75" spans="2:7" s="49" customFormat="1" ht="15.6">
      <c r="B75" s="85" t="s">
        <v>734</v>
      </c>
      <c r="C75" s="86">
        <v>165000</v>
      </c>
      <c r="D75" s="87">
        <v>165000</v>
      </c>
      <c r="E75" s="350"/>
      <c r="G75" s="15"/>
    </row>
    <row r="76" spans="2:7" s="49" customFormat="1" ht="15.6">
      <c r="B76" s="85" t="s">
        <v>735</v>
      </c>
      <c r="C76" s="86">
        <v>16500000</v>
      </c>
      <c r="D76" s="87">
        <v>16500000</v>
      </c>
      <c r="E76" s="350"/>
      <c r="G76" s="15"/>
    </row>
    <row r="77" spans="2:7" s="49" customFormat="1" ht="15.6">
      <c r="B77" s="85" t="s">
        <v>736</v>
      </c>
      <c r="C77" s="86">
        <v>3250643.6631999998</v>
      </c>
      <c r="D77" s="87">
        <v>3143832</v>
      </c>
      <c r="E77" s="350"/>
      <c r="G77" s="15"/>
    </row>
    <row r="78" spans="2:7" s="49" customFormat="1" ht="15.6">
      <c r="B78" s="85" t="s">
        <v>737</v>
      </c>
      <c r="C78" s="86">
        <v>198362616</v>
      </c>
      <c r="D78" s="87">
        <v>164733800</v>
      </c>
      <c r="E78" s="350"/>
      <c r="G78" s="15"/>
    </row>
    <row r="79" spans="2:7" s="49" customFormat="1" ht="15.6">
      <c r="B79" s="85" t="s">
        <v>738</v>
      </c>
      <c r="C79" s="86">
        <v>0</v>
      </c>
      <c r="D79" s="87">
        <v>2798738</v>
      </c>
      <c r="E79" s="350"/>
      <c r="G79" s="15"/>
    </row>
    <row r="80" spans="2:7" s="49" customFormat="1" ht="15.6">
      <c r="B80" s="85" t="s">
        <v>739</v>
      </c>
      <c r="C80" s="86">
        <v>23173097</v>
      </c>
      <c r="D80" s="87">
        <v>23173097</v>
      </c>
      <c r="E80" s="350"/>
      <c r="G80" s="15"/>
    </row>
    <row r="81" spans="2:14" s="49" customFormat="1" ht="15.6">
      <c r="B81" s="85" t="s">
        <v>740</v>
      </c>
      <c r="C81" s="86">
        <v>96850</v>
      </c>
      <c r="D81" s="87">
        <v>96850</v>
      </c>
      <c r="E81" s="350"/>
      <c r="G81" s="15"/>
    </row>
    <row r="82" spans="2:14" s="49" customFormat="1" ht="15.6">
      <c r="B82" s="85" t="s">
        <v>741</v>
      </c>
      <c r="C82" s="86">
        <v>78831280</v>
      </c>
      <c r="D82" s="87">
        <v>38837000</v>
      </c>
      <c r="E82" s="350"/>
      <c r="G82" s="15"/>
    </row>
    <row r="83" spans="2:14" s="49" customFormat="1" ht="15.6">
      <c r="B83" s="85" t="s">
        <v>742</v>
      </c>
      <c r="C83" s="86">
        <v>165000</v>
      </c>
      <c r="D83" s="87">
        <v>165000</v>
      </c>
      <c r="E83" s="350"/>
      <c r="G83" s="15"/>
    </row>
    <row r="84" spans="2:14" s="49" customFormat="1" ht="15.6">
      <c r="B84" s="85" t="s">
        <v>763</v>
      </c>
      <c r="C84" s="86">
        <v>15420628.046399951</v>
      </c>
      <c r="D84" s="87"/>
      <c r="E84" s="38"/>
      <c r="G84" s="15"/>
    </row>
    <row r="85" spans="2:14" s="49" customFormat="1" ht="15.6">
      <c r="B85" s="88" t="s">
        <v>208</v>
      </c>
      <c r="C85" s="89">
        <f>SUM(C63:C84)</f>
        <v>447967376.18479997</v>
      </c>
      <c r="D85" s="89">
        <f>SUM(D63:D84)</f>
        <v>480118276</v>
      </c>
      <c r="E85" s="31"/>
      <c r="G85" s="16"/>
      <c r="I85" s="20"/>
      <c r="J85" s="20"/>
      <c r="K85" s="20"/>
      <c r="L85" s="20"/>
      <c r="M85" s="20"/>
    </row>
    <row r="86" spans="2:14" s="49" customFormat="1" ht="15.6">
      <c r="B86" s="334"/>
      <c r="C86" s="335"/>
      <c r="D86" s="335"/>
      <c r="E86" s="31"/>
      <c r="G86" s="16"/>
      <c r="I86" s="20"/>
      <c r="J86" s="20"/>
      <c r="K86" s="20"/>
      <c r="L86" s="20"/>
      <c r="M86" s="20"/>
    </row>
    <row r="87" spans="2:14" s="49" customFormat="1" ht="15.6">
      <c r="B87" s="334"/>
      <c r="C87" s="335"/>
      <c r="D87" s="335"/>
      <c r="E87" s="31"/>
      <c r="G87" s="16"/>
      <c r="I87" s="20"/>
      <c r="J87" s="20"/>
      <c r="K87" s="20"/>
      <c r="L87" s="20"/>
      <c r="M87" s="20"/>
    </row>
    <row r="88" spans="2:14" s="49" customFormat="1" ht="15.6">
      <c r="B88" s="334"/>
      <c r="C88" s="335"/>
      <c r="D88" s="335"/>
      <c r="E88" s="31"/>
      <c r="G88" s="16"/>
      <c r="I88" s="20"/>
      <c r="J88" s="20"/>
      <c r="K88" s="20"/>
      <c r="L88" s="20"/>
      <c r="M88" s="20"/>
    </row>
    <row r="90" spans="2:14">
      <c r="B90" s="178" t="s">
        <v>209</v>
      </c>
    </row>
    <row r="91" spans="2:14">
      <c r="B91" s="477" t="s">
        <v>210</v>
      </c>
      <c r="C91" s="477" t="s">
        <v>211</v>
      </c>
      <c r="D91" s="477"/>
      <c r="E91" s="477"/>
      <c r="F91" s="477"/>
      <c r="G91" s="477"/>
      <c r="H91" s="477" t="s">
        <v>212</v>
      </c>
      <c r="I91" s="477"/>
      <c r="J91" s="477"/>
      <c r="K91" s="477"/>
      <c r="L91" s="477"/>
      <c r="M91" s="477"/>
      <c r="N91" s="3"/>
    </row>
    <row r="92" spans="2:14">
      <c r="B92" s="477"/>
      <c r="C92" s="477" t="s">
        <v>213</v>
      </c>
      <c r="D92" s="477" t="s">
        <v>214</v>
      </c>
      <c r="E92" s="477" t="s">
        <v>215</v>
      </c>
      <c r="F92" s="477" t="s">
        <v>216</v>
      </c>
      <c r="G92" s="477" t="s">
        <v>217</v>
      </c>
      <c r="H92" s="477" t="s">
        <v>218</v>
      </c>
      <c r="I92" s="477" t="s">
        <v>214</v>
      </c>
      <c r="J92" s="477" t="s">
        <v>215</v>
      </c>
      <c r="K92" s="477" t="s">
        <v>219</v>
      </c>
      <c r="L92" s="477" t="s">
        <v>220</v>
      </c>
      <c r="M92" s="477" t="s">
        <v>221</v>
      </c>
      <c r="N92" s="3"/>
    </row>
    <row r="93" spans="2:14">
      <c r="B93" s="477"/>
      <c r="C93" s="477"/>
      <c r="D93" s="477"/>
      <c r="E93" s="477"/>
      <c r="F93" s="477"/>
      <c r="G93" s="477"/>
      <c r="H93" s="477"/>
      <c r="I93" s="477"/>
      <c r="J93" s="477"/>
      <c r="K93" s="477"/>
      <c r="L93" s="477"/>
      <c r="M93" s="477"/>
      <c r="N93" s="3"/>
    </row>
    <row r="94" spans="2:14">
      <c r="B94" s="477"/>
      <c r="C94" s="477"/>
      <c r="D94" s="477"/>
      <c r="E94" s="477"/>
      <c r="F94" s="477"/>
      <c r="G94" s="477"/>
      <c r="H94" s="477"/>
      <c r="I94" s="477"/>
      <c r="J94" s="477"/>
      <c r="K94" s="477"/>
      <c r="L94" s="477"/>
      <c r="M94" s="477"/>
      <c r="N94" s="3"/>
    </row>
    <row r="95" spans="2:14" s="49" customFormat="1">
      <c r="B95" s="209" t="s">
        <v>222</v>
      </c>
      <c r="C95" s="316">
        <v>93398116</v>
      </c>
      <c r="D95" s="316">
        <f>112596933-93398116</f>
        <v>19198817</v>
      </c>
      <c r="E95" s="316">
        <v>0</v>
      </c>
      <c r="F95" s="316">
        <v>0</v>
      </c>
      <c r="G95" s="316">
        <f>+D95+C95</f>
        <v>112596933</v>
      </c>
      <c r="H95" s="316">
        <v>85422362.140792415</v>
      </c>
      <c r="I95" s="316">
        <v>390546.63548088819</v>
      </c>
      <c r="J95" s="316">
        <v>0</v>
      </c>
      <c r="K95" s="316">
        <v>0</v>
      </c>
      <c r="L95" s="316">
        <f>SUM(H95:K95)</f>
        <v>85812908.77627331</v>
      </c>
      <c r="M95" s="316">
        <f>+G95-L95</f>
        <v>26784024.22372669</v>
      </c>
      <c r="N95" s="3"/>
    </row>
    <row r="96" spans="2:14">
      <c r="B96" s="58" t="s">
        <v>334</v>
      </c>
      <c r="C96" s="316">
        <v>145075599</v>
      </c>
      <c r="D96" s="316">
        <v>179820</v>
      </c>
      <c r="E96" s="316">
        <v>0</v>
      </c>
      <c r="F96" s="316">
        <v>0</v>
      </c>
      <c r="G96" s="316">
        <f>SUM(C96:F96)</f>
        <v>145255419</v>
      </c>
      <c r="H96" s="316">
        <v>126601013.08389015</v>
      </c>
      <c r="I96" s="316">
        <v>10625688.953329707</v>
      </c>
      <c r="J96" s="316">
        <v>0</v>
      </c>
      <c r="K96" s="316">
        <v>0</v>
      </c>
      <c r="L96" s="316">
        <f>SUM(H96:K96)</f>
        <v>137226702.03721985</v>
      </c>
      <c r="M96" s="316">
        <f>+G96-L96</f>
        <v>8028716.9627801478</v>
      </c>
      <c r="N96" s="3"/>
    </row>
    <row r="97" spans="2:14">
      <c r="B97" s="58" t="s">
        <v>335</v>
      </c>
      <c r="C97" s="316">
        <v>0</v>
      </c>
      <c r="D97" s="316">
        <v>0</v>
      </c>
      <c r="E97" s="316">
        <f>-C97</f>
        <v>0</v>
      </c>
      <c r="F97" s="316">
        <v>0</v>
      </c>
      <c r="G97" s="316">
        <f>SUM(C97:F97)</f>
        <v>0</v>
      </c>
      <c r="H97" s="316">
        <v>0</v>
      </c>
      <c r="I97" s="316">
        <v>0</v>
      </c>
      <c r="J97" s="316">
        <f>-H97</f>
        <v>0</v>
      </c>
      <c r="K97" s="316">
        <v>0</v>
      </c>
      <c r="L97" s="316">
        <f>SUM(H97:K97)</f>
        <v>0</v>
      </c>
      <c r="M97" s="316">
        <f>+G97-L97</f>
        <v>0</v>
      </c>
      <c r="N97" s="3"/>
    </row>
    <row r="98" spans="2:14">
      <c r="B98" s="90" t="s">
        <v>223</v>
      </c>
      <c r="C98" s="57">
        <f>SUM(C95:C97)</f>
        <v>238473715</v>
      </c>
      <c r="D98" s="57">
        <f t="shared" ref="D98:K98" si="0">SUM(D95:D97)</f>
        <v>19378637</v>
      </c>
      <c r="E98" s="57">
        <f t="shared" si="0"/>
        <v>0</v>
      </c>
      <c r="F98" s="57">
        <f t="shared" si="0"/>
        <v>0</v>
      </c>
      <c r="G98" s="57">
        <f>SUM(G95:G97)</f>
        <v>257852352</v>
      </c>
      <c r="H98" s="57">
        <f>SUM(H95:H97)</f>
        <v>212023375.22468257</v>
      </c>
      <c r="I98" s="57">
        <f t="shared" si="0"/>
        <v>11016235.588810595</v>
      </c>
      <c r="J98" s="57">
        <f t="shared" si="0"/>
        <v>0</v>
      </c>
      <c r="K98" s="57">
        <f t="shared" si="0"/>
        <v>0</v>
      </c>
      <c r="L98" s="56">
        <f>SUM(L95:L97)</f>
        <v>223039610.81349316</v>
      </c>
      <c r="M98" s="56">
        <f>+G98-L98</f>
        <v>34812741.186506838</v>
      </c>
      <c r="N98" s="3"/>
    </row>
    <row r="99" spans="2:14">
      <c r="B99" s="90" t="s">
        <v>224</v>
      </c>
      <c r="C99" s="57">
        <f>+C98</f>
        <v>238473715</v>
      </c>
      <c r="D99" s="57">
        <v>0</v>
      </c>
      <c r="E99" s="57">
        <v>0</v>
      </c>
      <c r="F99" s="57">
        <v>0</v>
      </c>
      <c r="G99" s="57">
        <f>+C99+D99+E99+F99</f>
        <v>238473715</v>
      </c>
      <c r="H99" s="57">
        <f>+H98</f>
        <v>212023375.22468257</v>
      </c>
      <c r="I99" s="57" t="s">
        <v>137</v>
      </c>
      <c r="J99" s="57" t="s">
        <v>137</v>
      </c>
      <c r="K99" s="57">
        <v>0</v>
      </c>
      <c r="L99" s="57">
        <f>+K99+H99</f>
        <v>212023375.22468257</v>
      </c>
      <c r="M99" s="57">
        <f>+G99-L99</f>
        <v>26450339.77531743</v>
      </c>
      <c r="N99" s="3"/>
    </row>
    <row r="100" spans="2:14">
      <c r="K100" s="49"/>
      <c r="L100" s="49"/>
      <c r="M100" s="49"/>
      <c r="N100" s="49"/>
    </row>
    <row r="102" spans="2:14">
      <c r="B102" s="185" t="s">
        <v>225</v>
      </c>
      <c r="I102" s="20"/>
      <c r="J102" s="20"/>
      <c r="K102" s="20"/>
      <c r="L102" s="20"/>
      <c r="M102" s="20"/>
    </row>
    <row r="103" spans="2:14" s="49" customFormat="1">
      <c r="B103" s="1"/>
      <c r="I103" s="20"/>
      <c r="J103" s="20"/>
      <c r="K103" s="20"/>
      <c r="L103" s="20"/>
      <c r="M103" s="20"/>
    </row>
    <row r="104" spans="2:14" s="49" customFormat="1">
      <c r="B104" s="485" t="s">
        <v>361</v>
      </c>
      <c r="C104" s="485" t="s">
        <v>179</v>
      </c>
      <c r="D104" s="485" t="s">
        <v>207</v>
      </c>
    </row>
    <row r="105" spans="2:14" s="49" customFormat="1" ht="9.6" customHeight="1">
      <c r="B105" s="485"/>
      <c r="C105" s="485"/>
      <c r="D105" s="485"/>
    </row>
    <row r="106" spans="2:14" s="49" customFormat="1" ht="15.6">
      <c r="B106" s="85" t="s">
        <v>386</v>
      </c>
      <c r="C106" s="86">
        <v>0</v>
      </c>
      <c r="D106" s="87">
        <v>0</v>
      </c>
      <c r="E106" s="38">
        <v>15</v>
      </c>
      <c r="G106" s="15"/>
    </row>
    <row r="107" spans="2:14" s="49" customFormat="1" ht="15.6">
      <c r="B107" s="85" t="s">
        <v>386</v>
      </c>
      <c r="C107" s="86">
        <v>0</v>
      </c>
      <c r="D107" s="87">
        <v>0</v>
      </c>
      <c r="E107" s="38"/>
      <c r="G107" s="15"/>
    </row>
    <row r="108" spans="2:14" s="49" customFormat="1" ht="15.6">
      <c r="B108" s="85"/>
      <c r="C108" s="86">
        <f>SUM(C106:C107)</f>
        <v>0</v>
      </c>
      <c r="D108" s="86">
        <f>SUM(D106:D107)</f>
        <v>0</v>
      </c>
      <c r="E108" s="38"/>
      <c r="G108" s="15"/>
    </row>
    <row r="109" spans="2:14" ht="15" customHeight="1">
      <c r="B109" s="8"/>
      <c r="I109" s="20"/>
      <c r="J109" s="20"/>
      <c r="K109" s="20"/>
      <c r="L109" s="20"/>
      <c r="M109" s="20"/>
    </row>
    <row r="110" spans="2:14" ht="15.75" customHeight="1">
      <c r="I110" s="20"/>
      <c r="J110" s="20"/>
      <c r="K110" s="20"/>
      <c r="L110" s="20"/>
      <c r="M110" s="20"/>
    </row>
    <row r="111" spans="2:14">
      <c r="I111" s="20"/>
      <c r="J111" s="20"/>
      <c r="K111" s="20"/>
      <c r="L111" s="20"/>
      <c r="M111" s="20"/>
    </row>
    <row r="112" spans="2:14">
      <c r="I112" s="20"/>
      <c r="J112" s="20"/>
      <c r="K112" s="20"/>
      <c r="L112" s="20"/>
      <c r="M112" s="20"/>
    </row>
  </sheetData>
  <mergeCells count="40">
    <mergeCell ref="B4:E4"/>
    <mergeCell ref="B6:B7"/>
    <mergeCell ref="C6:C7"/>
    <mergeCell ref="D6:D7"/>
    <mergeCell ref="B25:D25"/>
    <mergeCell ref="B104:B105"/>
    <mergeCell ref="C104:C105"/>
    <mergeCell ref="D104:D105"/>
    <mergeCell ref="B27:F27"/>
    <mergeCell ref="B91:B94"/>
    <mergeCell ref="B53:B54"/>
    <mergeCell ref="G27:I27"/>
    <mergeCell ref="D28:D29"/>
    <mergeCell ref="E28:E29"/>
    <mergeCell ref="B33:D33"/>
    <mergeCell ref="F92:F94"/>
    <mergeCell ref="G92:G94"/>
    <mergeCell ref="C91:G91"/>
    <mergeCell ref="H92:H94"/>
    <mergeCell ref="I92:I94"/>
    <mergeCell ref="C53:C54"/>
    <mergeCell ref="D53:D54"/>
    <mergeCell ref="B34:D34"/>
    <mergeCell ref="B37:F37"/>
    <mergeCell ref="B43:F43"/>
    <mergeCell ref="B45:C45"/>
    <mergeCell ref="M92:M94"/>
    <mergeCell ref="B46:B47"/>
    <mergeCell ref="C46:C47"/>
    <mergeCell ref="D46:D47"/>
    <mergeCell ref="L92:L94"/>
    <mergeCell ref="H91:M91"/>
    <mergeCell ref="C92:C94"/>
    <mergeCell ref="D92:D94"/>
    <mergeCell ref="E92:E94"/>
    <mergeCell ref="J92:J94"/>
    <mergeCell ref="K92:K94"/>
    <mergeCell ref="B61:B62"/>
    <mergeCell ref="C61:C62"/>
    <mergeCell ref="D61:D62"/>
  </mergeCells>
  <pageMargins left="0.70866141732283472" right="0.70866141732283472" top="0.74803149606299213" bottom="0.74803149606299213" header="0.31496062992125984" footer="0.31496062992125984"/>
  <pageSetup scale="41"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vRiCeyP+64LO05kNGlfQ7JmAWOkZ7xWqxpBoIzFPK6g=</DigestValue>
    </Reference>
    <Reference Type="http://www.w3.org/2000/09/xmldsig#Object" URI="#idOfficeObject">
      <DigestMethod Algorithm="http://www.w3.org/2001/04/xmlenc#sha256"/>
      <DigestValue>t02zfZA7zdDRMIiptUbBdLSLklhra1tslIjEaOVhvvU=</DigestValue>
    </Reference>
    <Reference Type="http://uri.etsi.org/01903#SignedProperties" URI="#idSignedProperties">
      <Transforms>
        <Transform Algorithm="http://www.w3.org/TR/2001/REC-xml-c14n-20010315"/>
      </Transforms>
      <DigestMethod Algorithm="http://www.w3.org/2001/04/xmlenc#sha256"/>
      <DigestValue>nLZKQbNQazHtGdNo8sTdCIygdmdJgEGe7WrT8GJ3q8g=</DigestValue>
    </Reference>
  </SignedInfo>
  <SignatureValue>rVSNNL3EiD9cGuZirKGBsr7+VRQSy1dv8h/K+4q7nkpMvW36TawFnvpV7TPU9vzeSbNTa3VZk6y5
H8AIp1biZ8mLkykZgMiPsNFRH+s2p8U+8PuTT9FWrtfojJK2FSwSklCfsRp7evsdlkXHdMZHKTqb
/+xps3jft2NlODJQg+5N8M/7G0qR+J4npMf2VJlRdkUu29r4cENLbKA6OW5LnL3+T5a/n/rOScKJ
lPYUFbFnJsMMdVJIvAD3p1+TUETQQo24+sH9xsRiH1MioZAY0MgQ5xP3xqH44UnOd19mnNT1qNq3
w0GZON+m2uSNEhFtJi3XoOn8cWD/cDMnFz+O2Q==</SignatureValue>
  <KeyInfo>
    <X509Data>
      <X509Certificate>MIIIFDCCBfygAwIBAgITXAAAerMd/tlgMCqBRAAAAAB6szANBgkqhkiG9w0BAQsFADBXMRcwFQYDVQQFEw5SVUMgODAwODA2MTAtNzEVMBMGA1UEChMMQ09ERTEwMCBTLkEuMQswCQYDVQQGEwJQWTEYMBYGA1UEAxMPQ0EtQ09ERTEwMCBTLkEuMB4XDTIxMDcyMzEzMTA1MloXDTIzMDcyMzEzMTA1MlowgaoxKDAmBgNVBAMTH0RPUkEgSVNBQkVMIEJVU1RPIERFIEFSWkFNRU5ESUExFzAVBgNVBAoTDlBFUlNPTkEgRklTSUNBMQswCQYDVQQGEwJQWTEUMBIGA1UEKhMLRE9SQSBJU0FCRUwxHDAaBgNVBAQTE0JVU1RPIERFIEFSWkFNRU5ESUExETAPBgNVBAUTCENJNjkwNzgxMREwDwYDVQQLEwhGSVJNQSBGMjCCASIwDQYJKoZIhvcNAQEBBQADggEPADCCAQoCggEBAPOryQyO7JYD23oFUbllOrcXLYaoyLs6jEilPykf4acRYHZxF6NEW8pZV164nCt/rhvfHkZVg3yBiaN8CvwYQNTyFyI6CCAIWcBuezL4LY1t/6z7Zg0yRJxdivTJTICp7haGFRmhJWN6et/LTdL9/37GiCQk6DdVhT/wkOQW1YmAqOEPl5x5inq1VjUbzARAF3M8e4AKpZlvHL5tJIi14sgSIwwRonAGFHmKmDzx0AeFT0n4WoCKGoagk3wTZTwytGy+LLXhMUtvqbEJcgkmcg3nsMUbuj1igu+EerMNVEokNN87FERyeUYSVrbpXXNkrccP2jhBhv6goPiCDpM0mqkCAwEAAaOCA4MwggN/MA4GA1UdDwEB/wQEAwIF4DAMBgNVHRMBAf8EAjAAMCAGA1UdJQEB/wQWMBQGCCsGAQUFBwMCBggrBgEFBQcDBDAdBgNVHQ4EFgQUtY1SjQQ/2rI03DVm9sRqBCmctxgwHwYDVR0jBBgwFoAUJ/baOwt/k/hZEtAVqkLPspaWPUUwgYgGA1UdHwSBgDB+MHygeqB4hjpodHRwOi8vY2ExLmNvZGUxMDAuY29tLnB5L2Zpcm1hLWRpZ2l0YWwvY3JsL0NBLUNPREUxMDAuY3JshjpodHRwOi8vY2EyLmNvZGUxMDAuY29tLnB5L2Zpcm1hLWRpZ2l0YWwvY3JsL0NBLUNPREUxMDAuY3JsMIH4BggrBgEFBQcBAQSB6zCB6DBGBggrBgEFBQcwAoY6aHR0cDovL2NhMS5jb2RlMTAwLmNvbS5weS9maXJtYS1kaWdpdGFsL2Nlci9DQS1DT0RFMTAwLmNlcjBGBggrBgEFBQcwAoY6aHR0cDovL2NhMi5jb2RlMTAwLmNvbS5weS9maXJtYS1kaWdpdGFsL2Nlci9DQS1DT0RFMTAwLmNlcjAqBggrBgEFBQcwAYYeaHR0cDovL2NhMS5jb2RlMTAwLmNvbS5weS9vY3NwMCoGCCsGAQUFBzABhh5odHRwOi8vY2EyLmNvZGUxMDAuY29tLnB5L29jc3AwggFPBgNVHSAEggFGMIIBQjCCAT4GDCsGAQQBgtlKAQEBBjCCASwwbAYIKwYBBQUHAgEWYGh0dHA6Ly93d3cuY29kZTEwMC5jb20ucHkvZmlybWEtZGlnaXRhbC9DT0RFMTAwJTIwUG9saXRpY2ElMjBkZSUyMENlcnRpZmljYWNpb24lMjBGMiUyMHYyLjAucGRmADBmBggrBgEFBQcCAjBaHlgAUABvAGwAaQB0AGkAYwBhACAAZABlACAAYwBlAHIAdABpAGYAaQBjAGEAYwBpAG8AbgAgAEYAMgAgAGQAZQAgAEMAbwBkAGUAMQAwADAAIABTAC4AQQAuMFQGCCsGAQUFBwICMEgeRgBDAG8AZABlACAAMQAwADAAIABTAC4AQQAuACAAQwBlAHIAdABpAGYAaQBjAGEAdABlACAAUABvAGwAaQBjAHkAIABGADIwJAYDVR0RBB0wG4EZRE9SQS5BUlpBTUVORElBQEdNQUlMLkNPTTANBgkqhkiG9w0BAQsFAAOCAgEAbh53SVYPmVJG4ZfO0Pf4fUWhv6VUISshzrl6RLDo6C/v6XwHywWIi0sqhgOa2TkvSG+QWlkgCf06x9unknIIU6AJLztLCvRa8lh6Vv4hqGtgq8GDHkHdgysMX8xI3yED3Qjlgw/ohXBiHqUDtAnXaoJ6UWeZno/vr13r27Hw6hNhQMmHEhYOZpC31TFn9pRVDxieNj543h9yvRZscaiDS0Q+QOQETf7rEhZA+r0Gr7gGZ2/3+YMs49wVnbzP9YIUbC+rq3QMj4Qftue43Pvh2jwTUg+WLNvu3cY8guDS3pdWWGET9rk5RO9G3WJG59nJi3Os3tPQpIwV5ox/BKaj+3xiNMv0Yne0NAYs3ld3iaEru2mLdX8tgCkhuW5NaIc4y9/KCSLALYGitSctWpbcSBYjjfcDZEhlsFGfiIEZYhbSaiLfR7xTmIF2a+Lhb0kkey0UFEhPfsvGVY06UN2aUfGCRJiu+0z6qRlvBXHikClQpqRrO+Hq/L9C3ALleESJMnmsgk2P+TDdrkGNQtlHw5ZAuwkaumBwlcsvkKPae5avQREPICJA8axwVgGnZpuisgbTWFjkRk/nmX3EoXp/vpuzph4AupGQ+8InukohEz+SvWyH+t3fzHW9SUy+5osIfcC0WgDNpCbl43DC2rM6tgAHHt+HjQE8fGJzZbkt5T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DmhrCSfbYCzEsMal/8hW9s/BVrOJF3YwUOBulPegt1M=</DigestValue>
      </Reference>
      <Reference URI="/xl/calcChain.xml?ContentType=application/vnd.openxmlformats-officedocument.spreadsheetml.calcChain+xml">
        <DigestMethod Algorithm="http://www.w3.org/2001/04/xmlenc#sha256"/>
        <DigestValue>TVgViqK1I9NrjLZl42tjkwwtdDNZdzrn9r7GyYTFp6A=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8Si78NiSh5foaJildh7OKCSwHp3PWMm3H11mHq+hvS8=</DigestValue>
      </Reference>
      <Reference URI="/xl/media/image1.png?ContentType=image/png">
        <DigestMethod Algorithm="http://www.w3.org/2001/04/xmlenc#sha256"/>
        <DigestValue>gsWH99sp3UUz6MV59nFlnQ75GjEMleB3jPlQy7lOlJw=</DigestValue>
      </Reference>
      <Reference URI="/xl/persons/person.xml?ContentType=application/vnd.ms-excel.person+xml">
        <DigestMethod Algorithm="http://www.w3.org/2001/04/xmlenc#sha256"/>
        <DigestValue>i+W0h4o0a4FsX/1VZYYgW6+PYpcmLkjFnGu2ZRI42z4=</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10.bin?ContentType=application/vnd.openxmlformats-officedocument.spreadsheetml.printerSettings">
        <DigestMethod Algorithm="http://www.w3.org/2001/04/xmlenc#sha256"/>
        <DigestValue>9BEDvEtLT0sYKxzC33m1GXOVCEz7eNWpAlAQTHxciJc=</DigestValue>
      </Reference>
      <Reference URI="/xl/printerSettings/printerSettings11.bin?ContentType=application/vnd.openxmlformats-officedocument.spreadsheetml.printerSettings">
        <DigestMethod Algorithm="http://www.w3.org/2001/04/xmlenc#sha256"/>
        <DigestValue>TaA6KX/SRWPpmiasS8KGCRFI/mFTpQlGqiM07LbibG8=</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9BEDvEtLT0sYKxzC33m1GXOVCEz7eNWpAlAQTHxciJc=</DigestValue>
      </Reference>
      <Reference URI="/xl/printerSettings/printerSettings14.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tqkArYr64kd5rx+KazVxgeMQTi8uuFNs2pmjM+CmqV0=</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nyXEq6HkSWVbKuqt8NwW1ry2ZXjGdSgNTy2s0ZAJc9E=</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HMqTjMQkU7485bLs/bXIq48oOnn+BKAjb7D/QaGAxX8=</DigestValue>
      </Reference>
      <Reference URI="/xl/styles.xml?ContentType=application/vnd.openxmlformats-officedocument.spreadsheetml.styles+xml">
        <DigestMethod Algorithm="http://www.w3.org/2001/04/xmlenc#sha256"/>
        <DigestValue>Y3MvvnjALDBMWyUA/wHMjhCvGiFjF8nrUs0tsgkq148=</DigestValue>
      </Reference>
      <Reference URI="/xl/theme/theme1.xml?ContentType=application/vnd.openxmlformats-officedocument.theme+xml">
        <DigestMethod Algorithm="http://www.w3.org/2001/04/xmlenc#sha256"/>
        <DigestValue>0od3cWFb7H/9sr1fB3xS8N4PVwSWcnr1ynQI1Jvf//w=</DigestValue>
      </Reference>
      <Reference URI="/xl/threadedComments/threadedComment1.xml?ContentType=application/vnd.ms-excel.threadedcomments+xml">
        <DigestMethod Algorithm="http://www.w3.org/2001/04/xmlenc#sha256"/>
        <DigestValue>00zS5zl0PbdeRoTQ+nHdnngoX/FKs+dQYyKZLrh1z/Y=</DigestValue>
      </Reference>
      <Reference URI="/xl/threadedComments/threadedComment2.xml?ContentType=application/vnd.ms-excel.threadedcomments+xml">
        <DigestMethod Algorithm="http://www.w3.org/2001/04/xmlenc#sha256"/>
        <DigestValue>xe4P1Yx/JjHq9SIk4kENQJ2CA7pQ5Qmwi7um5n8dG3E=</DigestValue>
      </Reference>
      <Reference URI="/xl/workbook.xml?ContentType=application/vnd.openxmlformats-officedocument.spreadsheetml.sheet.main+xml">
        <DigestMethod Algorithm="http://www.w3.org/2001/04/xmlenc#sha256"/>
        <DigestValue>b86jOGHvmOQEzw4KEhpk45+p+uCm9OvJuZtgj/GYgU8=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VmrfhoXBcx/JpeAAMxqFmIcaJNIS4IGUD8AaW3IxJu4=</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qC+amY33KsZAinZlGuMFRlBkU62dCjMXPc6+bG4XmEg=</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6f1sb0uGAwhEmjKsSOrqMYiNu2nOhbvy5R+/k9iRhQM=</DigestValue>
      </Reference>
      <Reference URI="/xl/worksheets/sheet10.xml?ContentType=application/vnd.openxmlformats-officedocument.spreadsheetml.worksheet+xml">
        <DigestMethod Algorithm="http://www.w3.org/2001/04/xmlenc#sha256"/>
        <DigestValue>i5kAHgfScqEQ4/fKo9zagyrlLOQT1pxGqlXjhJlGJvs=</DigestValue>
      </Reference>
      <Reference URI="/xl/worksheets/sheet11.xml?ContentType=application/vnd.openxmlformats-officedocument.spreadsheetml.worksheet+xml">
        <DigestMethod Algorithm="http://www.w3.org/2001/04/xmlenc#sha256"/>
        <DigestValue>8UV8QkKdK0O+IL/xZBFJztacmtKjeYyOalIdcqn8c+U=</DigestValue>
      </Reference>
      <Reference URI="/xl/worksheets/sheet12.xml?ContentType=application/vnd.openxmlformats-officedocument.spreadsheetml.worksheet+xml">
        <DigestMethod Algorithm="http://www.w3.org/2001/04/xmlenc#sha256"/>
        <DigestValue>A8vxIs5oUyuxPSSrVAVTTvX2zqTQIlQkpwHbf54Ipf4=</DigestValue>
      </Reference>
      <Reference URI="/xl/worksheets/sheet13.xml?ContentType=application/vnd.openxmlformats-officedocument.spreadsheetml.worksheet+xml">
        <DigestMethod Algorithm="http://www.w3.org/2001/04/xmlenc#sha256"/>
        <DigestValue>h0kkhFifgZRfI7IPJE3iaMdkLmE4Gl7FclMxHXTirhk=</DigestValue>
      </Reference>
      <Reference URI="/xl/worksheets/sheet14.xml?ContentType=application/vnd.openxmlformats-officedocument.spreadsheetml.worksheet+xml">
        <DigestMethod Algorithm="http://www.w3.org/2001/04/xmlenc#sha256"/>
        <DigestValue>IlFDjt6c1i4w3doFiTf8UvBkDGsWKJJtpApJPtVgyy4=</DigestValue>
      </Reference>
      <Reference URI="/xl/worksheets/sheet2.xml?ContentType=application/vnd.openxmlformats-officedocument.spreadsheetml.worksheet+xml">
        <DigestMethod Algorithm="http://www.w3.org/2001/04/xmlenc#sha256"/>
        <DigestValue>YbD+n1YWeiUAxbG7gfx6DQBj3VHkb8saE9KmCmp47NI=</DigestValue>
      </Reference>
      <Reference URI="/xl/worksheets/sheet3.xml?ContentType=application/vnd.openxmlformats-officedocument.spreadsheetml.worksheet+xml">
        <DigestMethod Algorithm="http://www.w3.org/2001/04/xmlenc#sha256"/>
        <DigestValue>JRwbSF45bnh6N6rxx3OPFXqAK0QgvRlMdYCFpH2WosY=</DigestValue>
      </Reference>
      <Reference URI="/xl/worksheets/sheet4.xml?ContentType=application/vnd.openxmlformats-officedocument.spreadsheetml.worksheet+xml">
        <DigestMethod Algorithm="http://www.w3.org/2001/04/xmlenc#sha256"/>
        <DigestValue>oH1rjWUhz/w1PMf2OsSU9XRDYegvvg7lV36BQU/as8I=</DigestValue>
      </Reference>
      <Reference URI="/xl/worksheets/sheet5.xml?ContentType=application/vnd.openxmlformats-officedocument.spreadsheetml.worksheet+xml">
        <DigestMethod Algorithm="http://www.w3.org/2001/04/xmlenc#sha256"/>
        <DigestValue>lVMf5uJ2hr+Q9ks5rOCTurx5NkNYItCmAxF7Y/3pRxw=</DigestValue>
      </Reference>
      <Reference URI="/xl/worksheets/sheet6.xml?ContentType=application/vnd.openxmlformats-officedocument.spreadsheetml.worksheet+xml">
        <DigestMethod Algorithm="http://www.w3.org/2001/04/xmlenc#sha256"/>
        <DigestValue>DwXLiC7z+kfznlsbznRSq+w2wQl0JDrXdSgatgleyBc=</DigestValue>
      </Reference>
      <Reference URI="/xl/worksheets/sheet7.xml?ContentType=application/vnd.openxmlformats-officedocument.spreadsheetml.worksheet+xml">
        <DigestMethod Algorithm="http://www.w3.org/2001/04/xmlenc#sha256"/>
        <DigestValue>T3lykTnZqIW2cwD/tHNXwJK+UlSgiwjpjPA/2WPmMYw=</DigestValue>
      </Reference>
      <Reference URI="/xl/worksheets/sheet8.xml?ContentType=application/vnd.openxmlformats-officedocument.spreadsheetml.worksheet+xml">
        <DigestMethod Algorithm="http://www.w3.org/2001/04/xmlenc#sha256"/>
        <DigestValue>gqfNgE+oPO/TaoVrPp4EnqwtuBt9dUfXBV9KcRwNo54=</DigestValue>
      </Reference>
      <Reference URI="/xl/worksheets/sheet9.xml?ContentType=application/vnd.openxmlformats-officedocument.spreadsheetml.worksheet+xml">
        <DigestMethod Algorithm="http://www.w3.org/2001/04/xmlenc#sha256"/>
        <DigestValue>uvYlPkAVREMe/ahB4Mx7KlQKW92X+Mwo4c7K+ff7H6s=</DigestValue>
      </Reference>
    </Manifest>
    <SignatureProperties>
      <SignatureProperty Id="idSignatureTime" Target="#idPackageSignature">
        <mdssi:SignatureTime xmlns:mdssi="http://schemas.openxmlformats.org/package/2006/digital-signature">
          <mdssi:Format>YYYY-MM-DDThh:mm:ssTZD</mdssi:Format>
          <mdssi:Value>2023-05-16T19:49:49Z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16.0.10398/14</OfficeVersion>
          <ApplicationVersion>16.0.10398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2023-05-16T19:49:49Z</xd:SigningTime>
          <xd:SigningCertificate>
            <xd:Cert>
              <xd:CertDigest>
                <DigestMethod Algorithm="http://www.w3.org/2001/04/xmlenc#sha256"/>
                <DigestValue>4OBqmAwi54evLH1pcaGQIMAuSU+snKvbUf3IPRi0Mu0=</DigestValue>
              </xd:CertDigest>
              <xd:IssuerSerial>
                <X509IssuerName>CN=CA-CODE100 S.A., C=PY, O=CODE100 S.A., SERIALNUMBER=RUC 80080610-7</X509IssuerName>
                <X509SerialNumber>2051668721360662333565072710022995768263080627</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http://uri.etsi.org/01903/v1.2.2#ProofOfCreation</xd:Identifier>
              <xd:Description>Creó este documento</xd:Description>
            </xd:CommitmentTypeId>
            <xd:AllSignedDataObjects/>
            <xd:CommitmentTypeQualifiers>
              <xd:CommitmentTypeQualifier>CONTADOR</xd:CommitmentTypeQualifier>
            </xd:CommitmentTypeQualifiers>
          </xd:CommitmentTypeIndication>
        </xd:SignedDataObjectProperties>
      </xd:SignedProperties>
      <xd:UnsignedProperties>
        <xd:UnsignedSignatureProperties>
          <xd:CertificateValues>
            <xd:EncapsulatedX509Certificate>MIIHlTCCBX2gAwIBAgIQFQam0zHqbL5VAzhF6Zk1wTANBgkqhkiG9w0BAQsFADBvMQswCQYDVQQGEwJQWTErMCkGA1UECgwiTWluaXN0ZXJpbyBkZSBJbmR1c3RyaWEgeSBDb21lcmNpbzEzMDEGA1UEAwwqQXV0b3JpZGFkIENlcnRpZmljYWRvcmEgUmHDrXogZGVsIFBhcmFndWF5MB4XDTE1MDMxMzE5MTkzM1oXDTI1MDMxMzE5MTkzM1owVzEXMBUGA1UEBRMOUlVDIDgwMDgwNjEwLTcxFTATBgNVBAoTDENPREUxMDAgUy5BLjELMAkGA1UEBhMCUFkxGDAWBgNVBAMTD0NBLUNPREUxMDAgUy5BLjCCAiIwDQYJKoZIhvcNAQEBBQADggIPADCCAgoCggIBAKq5cmDx8Vvk7dlXjYYKwdNRreQbj9K2Q3zBDwF+/vPMXXX8pPD+U3dIHr9BGoDy6M7UrZlXfexAGDzVgaTKlzJgZbkYFOYOKrN2fh1UnTPnStJsIjHywqpPqrW0y5rRm3preND4LMJhjmB0YSIp6LT8Nd5FvOtn/G2eBMZD1vFGooZ8p135TkWSGhTfNwssEYaLxWxFSnC8ntX+rfzBh0v9bx/iS2oRpvqLqTyOXvtgaTmUcGOMmzwRUnuQqRaHe7EQJMtYSnFKB8QZbxhnMSmhc3wxAcrO+mOruL/FO153UvU6uEJUP4uxjggxxyxcIWwQX40/TMWauVhG68YjIUZJBXJMSbO9AewBmKnWSWkZqD2ZTwg6fPew0cBOSsk2AvlA6w++ID+31F8uSm6OOxG/u9q3a7kHdfsH1N+tQBBdhuUr8+IcwNIgy4kkVQsNyF9jxwPimQHUXWTHnMxug0zb/+UyPX5U24dzq1FrMHneKi+m7fZYjPO3eN1FB/0ZhTqphfEM8QT8XHaPSxY+U8raBZnWqjZhCT5Xx02cmlHYZ/O4w7us9KKaMfLrMxioE8CdJsyTkN1K6z/Bd31FVPSfKJZBZ+4iAj6Wfa4sRci8KhB9tS9Tp4AeSY/yaf6OSh1FZSgaJ8UpCCJjX8BIlToDHyASJxtaR7AItaeD5p4XAgMBAAGjggJDMIICPzASBgNVHRMBAf8ECDAGAQH/AgEAMA4GA1UdDwEB/wQEAwIBBjAdBgNVHQ4EFgQUJ/baOwt/k/hZEtAVqkLPspaWPUUwHwYDVR0jBBgwFoAUwsQR8ipoRAwAKOxM1inbkvtevdYwegYIKwYBBQUHAQEEbjBsMD4GCCsGAQUFBzAChjJodHRwOi8vd3d3LmFjcmFpei5nb3YucHkvY3J0L2FjX3JhaXpfcHlfc2hhMjU2LmNydDAqBggrBgEFBQcwAYYeaHR0cDovL2NhMS5jb2RlMTAwLmNvbS5weS9vY3NwMIIBHQYDVR0gBIIBFDCCARAwggEMBgNVHSAwggEDMDYGCCsGAQUFBwIBFipodHRwOi8vd3d3LmFjcmFpei5nb3YucHkvY3BzL3BvbGl0aWNhcy5wZGYwZgYIKwYBBQUHAgIwWhpYQ2VydGlmaWNhZG9zIGVtaXRpZG9zIGRlbnRybyBkZWwgbWFyY28gZGUgbGEgUEtJIFBhcmFndWF5IGJham8gbGEgamVyYXJxdWlhIGRlIHN1IEFDUmFpejBhBggrBgEFBQcCAjBVGlNJc3N1ZWQgQ2VydGlmaWNhdGVzIGluIHRoZSBzY29wZSBvZiB0aGUgUEtJIFBhcmFndWF5IHVuZGVyIHRoZSBoaWVyYWNoeSBvZiBST09UIENBLjA8BgNVHR8ENTAzMDGgL6AthitodHRwOi8vd3d3LmFjcmFpei5nb3YucHkvYXJsL2FjX3JhaXpfcHkuY3JsMA0GCSqGSIb3DQEBCwUAA4ICAQCYwoeertzB7Um4In9wdg4uUvBU1DnivQWVaUJheeX5Bx81Mx60cu54IrwRC8o9AdgyV3aZiy+cWd8hBoX8ItgqJmxk4PwUT1802eP/ftLurBdCbAQv0lL81sDN00qtSo8LuqKv7ShZ5yYmrF6mEYJJYZ6AmCA5ji0nQ204rP7GKn3aA2wRy9DQ0WcAHB5YXVj4ihPMPWRf1y+zdDVEAJl2w2lmaBWPpg2Q/fIssSosmQozlHgb7HuVTLluHfZLdGiwq/pIk89qaoTpZs8s/ni2jMFvTx/3DHnY3Dz6s5kRDw2whrIjoV6xMDLJe3bm+rXKi2pGddUsqNrb6lCTUwN6bC0xIhwjRRxrBO9CMnj/8YT1GmR9kHKgP08tcyDSWk+woSoflKL/mlOkZf5o8TLTtSDeA87MMT0n18CWxzSLpkF97WXmJ8JGqTFDk1efqogYP6oanP9QvVUNGyEJw6DmGHEW3c29XaL1j/F4DTRCGEH2anQtpL6nV0l+mJ/hsDzPpPt92VilM4GdPZvk10JQ/yzj4+uNB9wozKLy427qbe6se/VaHa3iyutnxRP9sPEqHWfP/fm5u/e0PC9/JsjE89zti8rxEUK3hES0cSaLsCXpPKXPViaZI+1FeCtG9q2Deesy9diKtRnVZ1/ozb1rdfsug6BLWG4AsBnG3zduXA==</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yuCxpiUVchBcTe8wx95MX3UXfPGMpThYJbIYgmR8fWM=</DigestValue>
    </Reference>
    <Reference Type="http://www.w3.org/2000/09/xmldsig#Object" URI="#idOfficeObject">
      <DigestMethod Algorithm="http://www.w3.org/2001/04/xmlenc#sha256"/>
      <DigestValue>I/0qyPnqK3232XPaM+UkgY+JwiWHlCBIwewALkJk3XU=</DigestValue>
    </Reference>
    <Reference Type="http://uri.etsi.org/01903#SignedProperties" URI="#idSignedProperties">
      <Transforms>
        <Transform Algorithm="http://www.w3.org/TR/2001/REC-xml-c14n-20010315"/>
      </Transforms>
      <DigestMethod Algorithm="http://www.w3.org/2001/04/xmlenc#sha256"/>
      <DigestValue>g4QY5Zo1lM0b+iG9V/JVNJ0tt67uB9F0eF2e4nK2Dj0=</DigestValue>
    </Reference>
  </SignedInfo>
  <SignatureValue>nP8Beawsw2iNeFmo2DmAUXfBUESRvTj75kzAeVPUujkExiCcLFqpl24y2PoVIlIbMM3KBta+wBsX
+WiWOKC8/FJbGVKjBzaDASgHAXGdcLPmE6I233uk/l/eb4l6tYZYb3IJxT4X9BduCbqq8pqd6KV1
fa7ezKEbozPkPUCCOg7rMSlV9ArLszG84OSBtjZDagEW4FDeOlKyvIlRxFI1sk4CX5DXqDYqEaOP
FT5vsGrWtTeK9I7KCROeRwKvx9MB3bkd3D90tTqRdxfH4j8msPwDH7Fv2UVoZyI8CtABsHfN/QcD
lIWpbq9FLYCyrtw72Nj0d1ku8mHO4C1/NCp+eA==</SignatureValue>
  <KeyInfo>
    <X509Data>
      <X509Certificate>MIIHzjCCBbagAwIBAgIQL7XpHmPRuchin226JlbAVzANBgkqhkiG9w0BAQsFADBPMRcwFQYDVQQFEw5SVUMgODAwODAwOTktMDELMAkGA1UEBhMCUFkxETAPBgNVBAoMCFZJVCBTLkEuMRQwEgYDVQQDEwtDQS1WSVQgUy5BLjAeFw0yMjA2MDcxNTI0NDJaFw0yNDA2MDcxNTI0NDJaMIGlMRYwFAYDVQQqDA1EQU5JRUwgQU5EUkVTMRcwFQYDVQQEDA5NT1JFTk8gQk9HQVJJTjESMBAGA1UEBRMJQ0kxMDEyODI1MSUwIwYDVQQDDBxEQU5JRUwgQU5EUkVTIE1PUkVOTyBCT0dBUklOMREwDwYDVQQLDAhGSVJNQSBGMjEXMBUGA1UECgwOUEVSU09OQSBGSVNJQ0ExCzAJBgNVBAYTAlBZMIIBIjANBgkqhkiG9w0BAQEFAAOCAQ8AMIIBCgKCAQEAuRNzv8CdocoOQsAA26dRPkZNawmuV0R95x/Q6aKtzipJodEiww+U7wir+hKSfLrpYFmt1RjKpFpUpQtr/kZPejR4olEsFn3cHqnMa7pivFLG0/qQlOWTN3Lhu2YQUyI0MPwXk3QxVc2OKZxw1DFdS11Z0Vue9YGsHnrUUbDE5jZgIlkN/E1P+PzSMuFYQxlXIbuadtlUh/e+G9UqqU+gYoODyWMpLJSitCsn5dfOAZgxoDxMXlDNTadrCvBhiWTEFx0EP6B3iJZn4WsuB+yaZTc1G2vXWdpwtXcVU9eIqzNG72OfXX3G9tP62TVDDWwwTO0jCpPLv+/YihPBwvngawIDAQABo4IDTTCCA0kwDAYDVR0TAQH/BAIwADAOBgNVHQ8BAf8EBAMCBeAwLAYDVR0lAQH/BCIwIAYIKwYBBQUHAwQGCCsGAQUFBwMCBgorBgEEAYI3FAICMB0GA1UdDgQWBBRdOFaaIbDK/Fqdy8VH8JYmtnKkKTAfBgNVHSMEGDAWgBQDY3yfbVpypVORtNvskfsDX3x8nTCCAdgGA1UdIASCAc8wggHLMIIBxwYMKwYBBAGC2UoBAQEHMIIBtTAxBggrBgEFBQcCARYlaHR0cHM6Ly93d3cuZWZpcm1hLmNvbS5weS9yZXBvc2l0b3JpbzCBxgYIKwYBBQUHAgIwgbkagbZFc3RlIGVzIHVuIGNlcnRpZmljYWRvIFRpcG8gRjIgZGUgcGVyc29uYSBm7XNpY2EgY3V5YSBjbGF2ZSBwcml2YWRhIGVzdOEgYWxtYWNlbmFkYSBlbiB1biBt82R1bG8gZGUgaGFyZHdhcmUgeSBzb24gdXRpbGl6YWRhcyBwYXJhIGF1dGVudGljYXIgYSBzdSB0aXR1bGFyIHkgZ2VuZXJhciBmaXJtYXMgZGlnaXRhbGVzLjCBtgYIKwYBBQUHAgIwgakagaZUaGlzIGlzIGEgVHlwZSBGMiBjZXJ0aWZpY2F0ZSBvZiBwaHlzaWNhbCBwZXJzb24gd2hvc2UgcHJpdmF0ZSBrZXkgaXMgc3RvcmVkIGluIGEgaGFyZHdhcmUgbW9kdWxlIGFuZCB1c2VkIHRvIGF1dGhlbnRpY2F0ZSB0aGUgaG9sZGVyIGFuZCBnZW5lcmF0ZSBkaWdpdGFsIHNpZ25hdHVyZXMuMCMGA1UdEQQcMBqBGERBTklFTE1PUkVOTzc2QEdNQUlMLkNPTTB2BggrBgEFBQcBAQRqMGgwKAYIKwYBBQUHMAGGHGh0dHBzOi8vd3d3LmVmaXJtYS5jb20ucHkvdmEwPAYIKwYBBQUHMAKGMGh0dHBzOi8vd3d3LmVmaXJtYS5jb20ucHkvcmVwb3NpdG9yaW8vZWZpcm1hLmNydDBCBgNVHR8EOzA5MDegNaAzhjFodHRwczovL3d3dy5lZmlybWEuY29tLnB5L3JlcG9zaXRvcmlvL2VmaXJtYTEuY3JsMA0GCSqGSIb3DQEBCwUAA4ICAQARmhN8V4KxD0p7Zkr78CLtgXL3zW1oCuIgRWVNfgNOmiQ1bBF9EbtGHLQuH24wshZMBUXgHrGDxTiCqIgGg5zGsB0mmw5FbK7MaZ+hs3abdZZyriDBOkQDyGCBI/CdwYcNSOwolACXY1owmCz/XACWerMInMt5SXtTymyElxEjMK//fIBws3UNKEBj/i5MGndZtXRSz++nxv3HjvC5FpRHEDz8lYb/7x6k3XfSQNDdWgnn9Z5VPQjTqrN3SmyKbTNjwgL9gkKcp9YG5zE5gePNuRNbI5mgQ1AxyHT3fq4dhZtMz2VnOhF0/xqVM03OdUzdxUmrcDO7gknYYiUjCdHtHkqbC6BGzkI0MMDDAhg/HJpmQ52Q5vaqm/D2cYsWRIM3r6esppgLMWuxtMOs2g0S3oAzC3NhHB0iI2+Ud4sx2E9XlP9HJyPjZwP86KubviPgtE0a+9X3DgNY2LOoI2F0BcUkasCm3xDCevKSyn0B3e2jCl7gOLJApBPydBliNBsNYmE7v33f/A+DN9CoZ4pUlIV8jsPRLUsOoAsZH3Ut6yd7NrIAl/uy1Z9nFGNW/2dFCAap3MIAAHase0I/OaSfSOLKc8GuGLCUS+xZu64m+qtw7Evlef4KS7oajLAcWLGBD+1brwdrSPHbTbE9N2MQRNZYKAX+ZGjZzOdthQVhr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RHv6wvths29Dpm97gH9cbkxvm1Y1+u5BI6UHi+LfgBw=</DigestValue>
      </Reference>
      <Reference URI="/xl/calcChain.xml?ContentType=application/vnd.openxmlformats-officedocument.spreadsheetml.calcChain+xml">
        <DigestMethod Algorithm="http://www.w3.org/2001/04/xmlenc#sha256"/>
        <DigestValue>TVgViqK1I9NrjLZl42tjkwwtdDNZdzrn9r7GyYTFp6A=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8Si78NiSh5foaJildh7OKCSwHp3PWMm3H11mHq+hvS8=</DigestValue>
      </Reference>
      <Reference URI="/xl/media/image1.png?ContentType=image/png">
        <DigestMethod Algorithm="http://www.w3.org/2001/04/xmlenc#sha256"/>
        <DigestValue>gsWH99sp3UUz6MV59nFlnQ75GjEMleB3jPlQy7lOlJw=</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10.bin?ContentType=application/vnd.openxmlformats-officedocument.spreadsheetml.printerSettings">
        <DigestMethod Algorithm="http://www.w3.org/2001/04/xmlenc#sha256"/>
        <DigestValue>9BEDvEtLT0sYKxzC33m1GXOVCEz7eNWpAlAQTHxciJc=</DigestValue>
      </Reference>
      <Reference URI="/xl/printerSettings/printerSettings11.bin?ContentType=application/vnd.openxmlformats-officedocument.spreadsheetml.printerSettings">
        <DigestMethod Algorithm="http://www.w3.org/2001/04/xmlenc#sha256"/>
        <DigestValue>TaA6KX/SRWPpmiasS8KGCRFI/mFTpQlGqiM07LbibG8=</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9BEDvEtLT0sYKxzC33m1GXOVCEz7eNWpAlAQTHxciJc=</DigestValue>
      </Reference>
      <Reference URI="/xl/printerSettings/printerSettings14.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tqkArYr64kd5rx+KazVxgeMQTi8uuFNs2pmjM+CmqV0=</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nyXEq6HkSWVbKuqt8NwW1ry2ZXjGdSgNTy2s0ZAJc9E=</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HMqTjMQkU7485bLs/bXIq48oOnn+BKAjb7D/QaGAxX8=</DigestValue>
      </Reference>
      <Reference URI="/xl/styles.xml?ContentType=application/vnd.openxmlformats-officedocument.spreadsheetml.styles+xml">
        <DigestMethod Algorithm="http://www.w3.org/2001/04/xmlenc#sha256"/>
        <DigestValue>Y3MvvnjALDBMWyUA/wHMjhCvGiFjF8nrUs0tsgkq148=</DigestValue>
      </Reference>
      <Reference URI="/xl/theme/theme1.xml?ContentType=application/vnd.openxmlformats-officedocument.theme+xml">
        <DigestMethod Algorithm="http://www.w3.org/2001/04/xmlenc#sha256"/>
        <DigestValue>0od3cWFb7H/9sr1fB3xS8N4PVwSWcnr1ynQI1Jvf//w=</DigestValue>
      </Reference>
      <Reference URI="/xl/workbook.xml?ContentType=application/vnd.openxmlformats-officedocument.spreadsheetml.sheet.main+xml">
        <DigestMethod Algorithm="http://www.w3.org/2001/04/xmlenc#sha256"/>
        <DigestValue>b86jOGHvmOQEzw4KEhpk45+p+uCm9OvJuZtgj/GYgU8=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6f1sb0uGAwhEmjKsSOrqMYiNu2nOhbvy5R+/k9iRhQM=</DigestValue>
      </Reference>
      <Reference URI="/xl/worksheets/sheet10.xml?ContentType=application/vnd.openxmlformats-officedocument.spreadsheetml.worksheet+xml">
        <DigestMethod Algorithm="http://www.w3.org/2001/04/xmlenc#sha256"/>
        <DigestValue>i5kAHgfScqEQ4/fKo9zagyrlLOQT1pxGqlXjhJlGJvs=</DigestValue>
      </Reference>
      <Reference URI="/xl/worksheets/sheet11.xml?ContentType=application/vnd.openxmlformats-officedocument.spreadsheetml.worksheet+xml">
        <DigestMethod Algorithm="http://www.w3.org/2001/04/xmlenc#sha256"/>
        <DigestValue>8UV8QkKdK0O+IL/xZBFJztacmtKjeYyOalIdcqn8c+U=</DigestValue>
      </Reference>
      <Reference URI="/xl/worksheets/sheet12.xml?ContentType=application/vnd.openxmlformats-officedocument.spreadsheetml.worksheet+xml">
        <DigestMethod Algorithm="http://www.w3.org/2001/04/xmlenc#sha256"/>
        <DigestValue>A8vxIs5oUyuxPSSrVAVTTvX2zqTQIlQkpwHbf54Ipf4=</DigestValue>
      </Reference>
      <Reference URI="/xl/worksheets/sheet13.xml?ContentType=application/vnd.openxmlformats-officedocument.spreadsheetml.worksheet+xml">
        <DigestMethod Algorithm="http://www.w3.org/2001/04/xmlenc#sha256"/>
        <DigestValue>h0kkhFifgZRfI7IPJE3iaMdkLmE4Gl7FclMxHXTirhk=</DigestValue>
      </Reference>
      <Reference URI="/xl/worksheets/sheet14.xml?ContentType=application/vnd.openxmlformats-officedocument.spreadsheetml.worksheet+xml">
        <DigestMethod Algorithm="http://www.w3.org/2001/04/xmlenc#sha256"/>
        <DigestValue>IlFDjt6c1i4w3doFiTf8UvBkDGsWKJJtpApJPtVgyy4=</DigestValue>
      </Reference>
      <Reference URI="/xl/worksheets/sheet2.xml?ContentType=application/vnd.openxmlformats-officedocument.spreadsheetml.worksheet+xml">
        <DigestMethod Algorithm="http://www.w3.org/2001/04/xmlenc#sha256"/>
        <DigestValue>YbD+n1YWeiUAxbG7gfx6DQBj3VHkb8saE9KmCmp47NI=</DigestValue>
      </Reference>
      <Reference URI="/xl/worksheets/sheet3.xml?ContentType=application/vnd.openxmlformats-officedocument.spreadsheetml.worksheet+xml">
        <DigestMethod Algorithm="http://www.w3.org/2001/04/xmlenc#sha256"/>
        <DigestValue>JRwbSF45bnh6N6rxx3OPFXqAK0QgvRlMdYCFpH2WosY=</DigestValue>
      </Reference>
      <Reference URI="/xl/worksheets/sheet4.xml?ContentType=application/vnd.openxmlformats-officedocument.spreadsheetml.worksheet+xml">
        <DigestMethod Algorithm="http://www.w3.org/2001/04/xmlenc#sha256"/>
        <DigestValue>oH1rjWUhz/w1PMf2OsSU9XRDYegvvg7lV36BQU/as8I=</DigestValue>
      </Reference>
      <Reference URI="/xl/worksheets/sheet5.xml?ContentType=application/vnd.openxmlformats-officedocument.spreadsheetml.worksheet+xml">
        <DigestMethod Algorithm="http://www.w3.org/2001/04/xmlenc#sha256"/>
        <DigestValue>lVMf5uJ2hr+Q9ks5rOCTurx5NkNYItCmAxF7Y/3pRxw=</DigestValue>
      </Reference>
      <Reference URI="/xl/worksheets/sheet6.xml?ContentType=application/vnd.openxmlformats-officedocument.spreadsheetml.worksheet+xml">
        <DigestMethod Algorithm="http://www.w3.org/2001/04/xmlenc#sha256"/>
        <DigestValue>DwXLiC7z+kfznlsbznRSq+w2wQl0JDrXdSgatgleyBc=</DigestValue>
      </Reference>
      <Reference URI="/xl/worksheets/sheet7.xml?ContentType=application/vnd.openxmlformats-officedocument.spreadsheetml.worksheet+xml">
        <DigestMethod Algorithm="http://www.w3.org/2001/04/xmlenc#sha256"/>
        <DigestValue>T3lykTnZqIW2cwD/tHNXwJK+UlSgiwjpjPA/2WPmMYw=</DigestValue>
      </Reference>
      <Reference URI="/xl/worksheets/sheet8.xml?ContentType=application/vnd.openxmlformats-officedocument.spreadsheetml.worksheet+xml">
        <DigestMethod Algorithm="http://www.w3.org/2001/04/xmlenc#sha256"/>
        <DigestValue>gqfNgE+oPO/TaoVrPp4EnqwtuBt9dUfXBV9KcRwNo54=</DigestValue>
      </Reference>
      <Reference URI="/xl/worksheets/sheet9.xml?ContentType=application/vnd.openxmlformats-officedocument.spreadsheetml.worksheet+xml">
        <DigestMethod Algorithm="http://www.w3.org/2001/04/xmlenc#sha256"/>
        <DigestValue>uvYlPkAVREMe/ahB4Mx7KlQKW92X+Mwo4c7K+ff7H6s=</DigestValue>
      </Reference>
    </Manifest>
    <SignatureProperties>
      <SignatureProperty Id="idSignatureTime" Target="#idPackageSignature">
        <mdssi:SignatureTime xmlns:mdssi="http://schemas.openxmlformats.org/package/2006/digital-signature">
          <mdssi:Format>YYYY-MM-DDThh:mm:ssTZD</mdssi:Format>
          <mdssi:Value>2023-05-16T19:58:59Z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15.0</OfficeVersion>
          <ApplicationVersion>15.0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2023-05-16T19:58:59Z</xd:SigningTime>
          <xd:SigningCertificate>
            <xd:Cert>
              <xd:CertDigest>
                <DigestMethod Algorithm="http://www.w3.org/2001/04/xmlenc#sha256"/>
                <DigestValue>8uHdl/n7i8782z2nH7JLdbT94ygLsx4FAHi12soOtsg=</DigestValue>
              </xd:CertDigest>
              <xd:IssuerSerial>
                <X509IssuerName>CN=CA-VIT S.A., O=VIT S.A., C=PY, SERIALNUMBER=RUC 80080099-0</X509IssuerName>
                <X509SerialNumber>63418249742460934897249143495463452759</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CARATULA </vt:lpstr>
      <vt:lpstr>Información General</vt:lpstr>
      <vt:lpstr>Balance General</vt:lpstr>
      <vt:lpstr>Estado de Resultados</vt:lpstr>
      <vt:lpstr>Variación PN</vt:lpstr>
      <vt:lpstr>Flujo de Efectivo</vt:lpstr>
      <vt:lpstr>Notas a los EEFF</vt:lpstr>
      <vt:lpstr>Anexo 5a-5c</vt:lpstr>
      <vt:lpstr>Anexo 5d-5h</vt:lpstr>
      <vt:lpstr>Anexo 5i-5m</vt:lpstr>
      <vt:lpstr>Anexo 5n-5r</vt:lpstr>
      <vt:lpstr>Anexo 5s-5w</vt:lpstr>
      <vt:lpstr>Anexo 5x-5z</vt:lpstr>
      <vt:lpstr>Notas 6-11</vt:lpstr>
      <vt:lpstr>'Notas 6-11'!_Hlk47083218</vt:lpstr>
      <vt:lpstr>'Notas a los EEFF'!Área_de_impresión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Diario</dc:creator>
  <cp:lastModifiedBy>Fernando.- Villamayor</cp:lastModifiedBy>
  <cp:lastPrinted>2022-03-23T14:26:34Z</cp:lastPrinted>
  <dcterms:created xsi:type="dcterms:W3CDTF">2020-08-05T19:03:26Z</dcterms:created>
  <dcterms:modified xsi:type="dcterms:W3CDTF">2023-05-16T19:59:13Z</dcterms:modified>
  <cp:contentStatus/>
</cp:coreProperties>
</file>