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er_v\Downloads\"/>
    </mc:Choice>
  </mc:AlternateContent>
  <bookViews>
    <workbookView xWindow="0" yWindow="0" windowWidth="23040" windowHeight="9264" tabRatio="888" firstSheet="1" activeTab="10"/>
  </bookViews>
  <sheets>
    <sheet name="CARATULA " sheetId="16" r:id="rId1"/>
    <sheet name="Información General" sheetId="1" r:id="rId2"/>
    <sheet name="Balance General" sheetId="3" r:id="rId3"/>
    <sheet name="Estado de Resultados" sheetId="4" r:id="rId4"/>
    <sheet name="Variación PN" sheetId="15" r:id="rId5"/>
    <sheet name="Flujo de Efectivo" sheetId="5" r:id="rId6"/>
    <sheet name="Notas a los EEFF" sheetId="7" r:id="rId7"/>
    <sheet name="Anexo 5a-5c" sheetId="8" r:id="rId8"/>
    <sheet name="Anexo 5d-5h" sheetId="9" r:id="rId9"/>
    <sheet name="Anexo 5i-5m" sheetId="10" r:id="rId10"/>
    <sheet name="Anexo 5n-5r" sheetId="11" r:id="rId11"/>
    <sheet name="Anexo 5s-5w" sheetId="12" r:id="rId12"/>
    <sheet name="Anexo 5x-5z" sheetId="13" r:id="rId13"/>
    <sheet name="Notas 6-11" sheetId="14" r:id="rId14"/>
  </sheets>
  <definedNames>
    <definedName name="_Hlk47006462" localSheetId="2">'Balance General'!#REF!</definedName>
    <definedName name="_Hlk47083218" localSheetId="13">'Notas 6-11'!$C$10</definedName>
    <definedName name="_xlnm.Print_Area" localSheetId="6">'Notas a los EEFF'!$A$1:$B$41</definedName>
  </definedNames>
  <calcPr calcId="191029"/>
</workbook>
</file>

<file path=xl/calcChain.xml><?xml version="1.0" encoding="utf-8"?>
<calcChain xmlns="http://schemas.openxmlformats.org/spreadsheetml/2006/main">
  <c r="C39" i="5" l="1"/>
  <c r="C14" i="5"/>
  <c r="C22" i="5"/>
  <c r="C32" i="5"/>
  <c r="C41" i="5"/>
  <c r="D8" i="10"/>
  <c r="C28" i="11"/>
  <c r="C56" i="9"/>
  <c r="C98" i="9"/>
  <c r="D72" i="9"/>
  <c r="D14" i="5"/>
  <c r="D22" i="5"/>
  <c r="H25" i="8"/>
  <c r="I25" i="8"/>
  <c r="E25" i="8"/>
  <c r="F25" i="8"/>
  <c r="L11" i="15"/>
  <c r="K15" i="15"/>
  <c r="L15" i="15"/>
  <c r="I11" i="15"/>
  <c r="D11" i="15"/>
  <c r="D13" i="15"/>
  <c r="C64" i="12"/>
  <c r="H24" i="8"/>
  <c r="I24" i="8"/>
  <c r="H26" i="8"/>
  <c r="I26" i="8"/>
  <c r="H27" i="8"/>
  <c r="I27" i="8"/>
  <c r="H28" i="8"/>
  <c r="I28" i="8"/>
  <c r="I30" i="8"/>
  <c r="D69" i="9"/>
  <c r="D10" i="11"/>
  <c r="G35" i="3"/>
  <c r="D33" i="11"/>
  <c r="G26" i="3"/>
  <c r="D18" i="11"/>
  <c r="G14" i="3"/>
  <c r="D39" i="5"/>
  <c r="D104" i="12"/>
  <c r="F18" i="12"/>
  <c r="F17" i="12"/>
  <c r="F16" i="12"/>
  <c r="F15" i="12"/>
  <c r="F14" i="12"/>
  <c r="F13" i="12"/>
  <c r="F12" i="12"/>
  <c r="D43" i="11"/>
  <c r="D42" i="11"/>
  <c r="D42" i="10"/>
  <c r="H98" i="9"/>
  <c r="H99" i="9"/>
  <c r="C99" i="9"/>
  <c r="G95" i="9"/>
  <c r="G96" i="9"/>
  <c r="E97" i="9"/>
  <c r="G97" i="9"/>
  <c r="G98" i="9"/>
  <c r="F76" i="11"/>
  <c r="E76" i="11"/>
  <c r="F68" i="11"/>
  <c r="E68" i="11"/>
  <c r="F60" i="11"/>
  <c r="E60" i="11"/>
  <c r="I236" i="1"/>
  <c r="I235" i="1"/>
  <c r="I234" i="1"/>
  <c r="I233" i="1"/>
  <c r="I232" i="1"/>
  <c r="I231" i="1"/>
  <c r="I230" i="1"/>
  <c r="I229" i="1"/>
  <c r="I228" i="1"/>
  <c r="I227" i="1"/>
  <c r="I226" i="1"/>
  <c r="I225" i="1"/>
  <c r="I224" i="1"/>
  <c r="I223" i="1"/>
  <c r="I222" i="1"/>
  <c r="D85" i="9"/>
  <c r="D20" i="3"/>
  <c r="C85" i="9"/>
  <c r="C20" i="3"/>
  <c r="M15" i="15"/>
  <c r="F98" i="9"/>
  <c r="D98" i="9"/>
  <c r="G51" i="3"/>
  <c r="F51" i="3"/>
  <c r="G47" i="3"/>
  <c r="F47" i="3"/>
  <c r="G55" i="3"/>
  <c r="F55" i="3"/>
  <c r="C20" i="4"/>
  <c r="L96" i="9"/>
  <c r="C33" i="11"/>
  <c r="F26" i="3"/>
  <c r="D20" i="4"/>
  <c r="H17" i="15"/>
  <c r="M17" i="15"/>
  <c r="H11" i="15"/>
  <c r="H20" i="15"/>
  <c r="K16" i="15"/>
  <c r="M16" i="15"/>
  <c r="E11" i="15"/>
  <c r="D45" i="11"/>
  <c r="G62" i="3"/>
  <c r="F62" i="3"/>
  <c r="D62" i="3"/>
  <c r="C62" i="3"/>
  <c r="C10" i="11"/>
  <c r="C18" i="11"/>
  <c r="F14" i="3"/>
  <c r="F35" i="3"/>
  <c r="C45" i="11"/>
  <c r="F27" i="3"/>
  <c r="D34" i="10"/>
  <c r="D47" i="3"/>
  <c r="C34" i="10"/>
  <c r="C47" i="3"/>
  <c r="E9" i="10"/>
  <c r="D9" i="10"/>
  <c r="F8" i="10"/>
  <c r="E10" i="10"/>
  <c r="C10" i="10"/>
  <c r="L95" i="9"/>
  <c r="K98" i="9"/>
  <c r="I98" i="9"/>
  <c r="F10" i="10"/>
  <c r="D44" i="3"/>
  <c r="F9" i="10"/>
  <c r="C44" i="3"/>
  <c r="L99" i="9"/>
  <c r="D41" i="3"/>
  <c r="G99" i="9"/>
  <c r="D40" i="3"/>
  <c r="J97" i="9"/>
  <c r="J98" i="9"/>
  <c r="D50" i="9"/>
  <c r="D21" i="3"/>
  <c r="E98" i="9"/>
  <c r="C40" i="3"/>
  <c r="M99" i="9"/>
  <c r="H23" i="8"/>
  <c r="I23" i="8"/>
  <c r="H22" i="8"/>
  <c r="I22" i="8"/>
  <c r="C37" i="8"/>
  <c r="D7" i="12"/>
  <c r="C7" i="12"/>
  <c r="C29" i="12"/>
  <c r="K236" i="1"/>
  <c r="K235" i="1"/>
  <c r="K234" i="1"/>
  <c r="K233" i="1"/>
  <c r="K232" i="1"/>
  <c r="K231" i="1"/>
  <c r="K230" i="1"/>
  <c r="K229" i="1"/>
  <c r="K228" i="1"/>
  <c r="K227" i="1"/>
  <c r="K226" i="1"/>
  <c r="K225" i="1"/>
  <c r="K224" i="1"/>
  <c r="K223" i="1"/>
  <c r="K222" i="1"/>
  <c r="I221" i="1"/>
  <c r="K221" i="1"/>
  <c r="I220" i="1"/>
  <c r="K220" i="1"/>
  <c r="I219" i="1"/>
  <c r="K219" i="1"/>
  <c r="I218" i="1"/>
  <c r="K218" i="1"/>
  <c r="I217" i="1"/>
  <c r="K217" i="1"/>
  <c r="I216" i="1"/>
  <c r="K216" i="1"/>
  <c r="I215" i="1"/>
  <c r="K215" i="1"/>
  <c r="I214" i="1"/>
  <c r="K214" i="1"/>
  <c r="I213" i="1"/>
  <c r="K213" i="1"/>
  <c r="I212" i="1"/>
  <c r="K212" i="1"/>
  <c r="I211" i="1"/>
  <c r="K211" i="1"/>
  <c r="I210" i="1"/>
  <c r="K210" i="1"/>
  <c r="I209" i="1"/>
  <c r="K209" i="1"/>
  <c r="I208" i="1"/>
  <c r="K208" i="1"/>
  <c r="I207" i="1"/>
  <c r="K207" i="1"/>
  <c r="I206" i="1"/>
  <c r="K206" i="1"/>
  <c r="I205" i="1"/>
  <c r="K205" i="1"/>
  <c r="I204" i="1"/>
  <c r="K204" i="1"/>
  <c r="I203" i="1"/>
  <c r="K203" i="1"/>
  <c r="I202" i="1"/>
  <c r="K202" i="1"/>
  <c r="I201" i="1"/>
  <c r="K201" i="1"/>
  <c r="I200" i="1"/>
  <c r="K200" i="1"/>
  <c r="I199" i="1"/>
  <c r="K199" i="1"/>
  <c r="I197" i="1"/>
  <c r="K197" i="1"/>
  <c r="I196" i="1"/>
  <c r="K196" i="1"/>
  <c r="I195" i="1"/>
  <c r="K195" i="1"/>
  <c r="I194" i="1"/>
  <c r="K194" i="1"/>
  <c r="I193" i="1"/>
  <c r="K193" i="1"/>
  <c r="I192" i="1"/>
  <c r="K192" i="1"/>
  <c r="I191" i="1"/>
  <c r="K191" i="1"/>
  <c r="I190" i="1"/>
  <c r="K190" i="1"/>
  <c r="I189" i="1"/>
  <c r="K189" i="1"/>
  <c r="I188" i="1"/>
  <c r="K188" i="1"/>
  <c r="I187" i="1"/>
  <c r="K187" i="1"/>
  <c r="I186" i="1"/>
  <c r="K186" i="1"/>
  <c r="I185" i="1"/>
  <c r="K185" i="1"/>
  <c r="I184" i="1"/>
  <c r="K184" i="1"/>
  <c r="I183" i="1"/>
  <c r="K183" i="1"/>
  <c r="I182" i="1"/>
  <c r="K182" i="1"/>
  <c r="I181" i="1"/>
  <c r="K181" i="1"/>
  <c r="I180" i="1"/>
  <c r="K180" i="1"/>
  <c r="I179" i="1"/>
  <c r="K179" i="1"/>
  <c r="I178" i="1"/>
  <c r="K178" i="1"/>
  <c r="I177" i="1"/>
  <c r="K177" i="1"/>
  <c r="I176" i="1"/>
  <c r="K176" i="1"/>
  <c r="I175" i="1"/>
  <c r="K175" i="1"/>
  <c r="I174" i="1"/>
  <c r="K174" i="1"/>
  <c r="I173" i="1"/>
  <c r="K173" i="1"/>
  <c r="I172" i="1"/>
  <c r="K172" i="1"/>
  <c r="I171" i="1"/>
  <c r="K171" i="1"/>
  <c r="I170" i="1"/>
  <c r="K170" i="1"/>
  <c r="I169" i="1"/>
  <c r="K169" i="1"/>
  <c r="I168" i="1"/>
  <c r="K168" i="1"/>
  <c r="I167" i="1"/>
  <c r="K167" i="1"/>
  <c r="I166" i="1"/>
  <c r="K166" i="1"/>
  <c r="I165" i="1"/>
  <c r="K165" i="1"/>
  <c r="I164" i="1"/>
  <c r="K164" i="1"/>
  <c r="I163" i="1"/>
  <c r="K163" i="1"/>
  <c r="I162" i="1"/>
  <c r="K162" i="1"/>
  <c r="I161" i="1"/>
  <c r="K161" i="1"/>
  <c r="I160" i="1"/>
  <c r="K160" i="1"/>
  <c r="I159" i="1"/>
  <c r="K159" i="1"/>
  <c r="I158" i="1"/>
  <c r="K158" i="1"/>
  <c r="I157" i="1"/>
  <c r="K157" i="1"/>
  <c r="I156" i="1"/>
  <c r="K156" i="1"/>
  <c r="I155" i="1"/>
  <c r="K155" i="1"/>
  <c r="I154" i="1"/>
  <c r="K154" i="1"/>
  <c r="I153" i="1"/>
  <c r="K153" i="1"/>
  <c r="I152" i="1"/>
  <c r="K152" i="1"/>
  <c r="I151" i="1"/>
  <c r="K151" i="1"/>
  <c r="I150" i="1"/>
  <c r="K150" i="1"/>
  <c r="I149" i="1"/>
  <c r="K149" i="1"/>
  <c r="I148" i="1"/>
  <c r="K148" i="1"/>
  <c r="I147" i="1"/>
  <c r="K147" i="1"/>
  <c r="I146" i="1"/>
  <c r="K146" i="1"/>
  <c r="I145" i="1"/>
  <c r="K145" i="1"/>
  <c r="I144" i="1"/>
  <c r="K144" i="1"/>
  <c r="I143" i="1"/>
  <c r="K143" i="1"/>
  <c r="I142" i="1"/>
  <c r="K142" i="1"/>
  <c r="I141" i="1"/>
  <c r="K141" i="1"/>
  <c r="I140" i="1"/>
  <c r="K140" i="1"/>
  <c r="I139" i="1"/>
  <c r="K139" i="1"/>
  <c r="I138" i="1"/>
  <c r="K138" i="1"/>
  <c r="I137" i="1"/>
  <c r="K137" i="1"/>
  <c r="I136" i="1"/>
  <c r="K136" i="1"/>
  <c r="I135" i="1"/>
  <c r="K135" i="1"/>
  <c r="I134" i="1"/>
  <c r="K134" i="1"/>
  <c r="I133" i="1"/>
  <c r="K133" i="1"/>
  <c r="I132" i="1"/>
  <c r="K132" i="1"/>
  <c r="I131" i="1"/>
  <c r="K131" i="1"/>
  <c r="I130" i="1"/>
  <c r="K130" i="1"/>
  <c r="I129" i="1"/>
  <c r="K129" i="1"/>
  <c r="I128" i="1"/>
  <c r="K128" i="1"/>
  <c r="I127" i="1"/>
  <c r="K127" i="1"/>
  <c r="I126" i="1"/>
  <c r="K126" i="1"/>
  <c r="I125" i="1"/>
  <c r="K125" i="1"/>
  <c r="I124" i="1"/>
  <c r="K124" i="1"/>
  <c r="I123" i="1"/>
  <c r="K123" i="1"/>
  <c r="I122" i="1"/>
  <c r="K122" i="1"/>
  <c r="I121" i="1"/>
  <c r="K121" i="1"/>
  <c r="I120" i="1"/>
  <c r="K120" i="1"/>
  <c r="I119" i="1"/>
  <c r="K119" i="1"/>
  <c r="I118" i="1"/>
  <c r="K118" i="1"/>
  <c r="I117" i="1"/>
  <c r="K117" i="1"/>
  <c r="I116" i="1"/>
  <c r="K116" i="1"/>
  <c r="I115" i="1"/>
  <c r="K115" i="1"/>
  <c r="I114" i="1"/>
  <c r="K114" i="1"/>
  <c r="I113" i="1"/>
  <c r="K113" i="1"/>
  <c r="I112" i="1"/>
  <c r="K112" i="1"/>
  <c r="I111" i="1"/>
  <c r="K111" i="1"/>
  <c r="I110" i="1"/>
  <c r="K110" i="1"/>
  <c r="I109" i="1"/>
  <c r="K109" i="1"/>
  <c r="I108" i="1"/>
  <c r="K108" i="1"/>
  <c r="I107" i="1"/>
  <c r="K107" i="1"/>
  <c r="I106" i="1"/>
  <c r="K106" i="1"/>
  <c r="I105" i="1"/>
  <c r="K105" i="1"/>
  <c r="I104" i="1"/>
  <c r="K104" i="1"/>
  <c r="I103" i="1"/>
  <c r="K103" i="1"/>
  <c r="I102" i="1"/>
  <c r="K102" i="1"/>
  <c r="I101" i="1"/>
  <c r="K101" i="1"/>
  <c r="I100" i="1"/>
  <c r="K100" i="1"/>
  <c r="I99" i="1"/>
  <c r="K99" i="1"/>
  <c r="I98" i="1"/>
  <c r="K98" i="1"/>
  <c r="I97" i="1"/>
  <c r="K97" i="1"/>
  <c r="I96" i="1"/>
  <c r="K96" i="1"/>
  <c r="I95" i="1"/>
  <c r="K95" i="1"/>
  <c r="I94" i="1"/>
  <c r="K94" i="1"/>
  <c r="I93" i="1"/>
  <c r="K93" i="1"/>
  <c r="I92" i="1"/>
  <c r="K92" i="1"/>
  <c r="I91" i="1"/>
  <c r="K91" i="1"/>
  <c r="I90" i="1"/>
  <c r="K90" i="1"/>
  <c r="I89" i="1"/>
  <c r="K89" i="1"/>
  <c r="I88" i="1"/>
  <c r="K88" i="1"/>
  <c r="I87" i="1"/>
  <c r="K87" i="1"/>
  <c r="I86" i="1"/>
  <c r="K86" i="1"/>
  <c r="I85" i="1"/>
  <c r="K85" i="1"/>
  <c r="I84" i="1"/>
  <c r="K84" i="1"/>
  <c r="I83" i="1"/>
  <c r="K83" i="1"/>
  <c r="I82" i="1"/>
  <c r="K82" i="1"/>
  <c r="I81" i="1"/>
  <c r="K81" i="1"/>
  <c r="I80" i="1"/>
  <c r="K80" i="1"/>
  <c r="I79" i="1"/>
  <c r="K79" i="1"/>
  <c r="I78" i="1"/>
  <c r="K78" i="1"/>
  <c r="I77" i="1"/>
  <c r="K77" i="1"/>
  <c r="I76" i="1"/>
  <c r="K76" i="1"/>
  <c r="I75" i="1"/>
  <c r="K75" i="1"/>
  <c r="I74" i="1"/>
  <c r="K74" i="1"/>
  <c r="I73" i="1"/>
  <c r="K73" i="1"/>
  <c r="I72" i="1"/>
  <c r="K72" i="1"/>
  <c r="I71" i="1"/>
  <c r="K71" i="1"/>
  <c r="I70" i="1"/>
  <c r="K70" i="1"/>
  <c r="I69" i="1"/>
  <c r="K69" i="1"/>
  <c r="I68" i="1"/>
  <c r="K68" i="1"/>
  <c r="I67" i="1"/>
  <c r="K67" i="1"/>
  <c r="I66" i="1"/>
  <c r="K66" i="1"/>
  <c r="I65" i="1"/>
  <c r="K65" i="1"/>
  <c r="I64" i="1"/>
  <c r="K64" i="1"/>
  <c r="I63" i="1"/>
  <c r="K63" i="1"/>
  <c r="I62" i="1"/>
  <c r="K62" i="1"/>
  <c r="I61" i="1"/>
  <c r="K61" i="1"/>
  <c r="I198" i="1"/>
  <c r="K198" i="1"/>
  <c r="J237" i="1"/>
  <c r="L236" i="1"/>
  <c r="L235" i="1"/>
  <c r="L234" i="1"/>
  <c r="L233" i="1"/>
  <c r="L232" i="1"/>
  <c r="L231" i="1"/>
  <c r="L230" i="1"/>
  <c r="L229" i="1"/>
  <c r="L228" i="1"/>
  <c r="L223" i="1"/>
  <c r="L224" i="1"/>
  <c r="L225" i="1"/>
  <c r="L226" i="1"/>
  <c r="L227"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K237" i="1"/>
  <c r="D240" i="1"/>
  <c r="L237" i="1"/>
  <c r="D55" i="1"/>
  <c r="D241" i="1"/>
  <c r="D242" i="1"/>
  <c r="M228" i="1"/>
  <c r="M236" i="1"/>
  <c r="M233" i="1"/>
  <c r="M234" i="1"/>
  <c r="M232" i="1"/>
  <c r="M223" i="1"/>
  <c r="M224" i="1"/>
  <c r="M227" i="1"/>
  <c r="M230" i="1"/>
  <c r="M235" i="1"/>
  <c r="M231" i="1"/>
  <c r="M229" i="1"/>
  <c r="M225" i="1"/>
  <c r="M226" i="1"/>
  <c r="M205" i="1"/>
  <c r="M221" i="1"/>
  <c r="M209" i="1"/>
  <c r="M203" i="1"/>
  <c r="M211" i="1"/>
  <c r="M219" i="1"/>
  <c r="M216" i="1"/>
  <c r="M204" i="1"/>
  <c r="M212" i="1"/>
  <c r="M220" i="1"/>
  <c r="M213" i="1"/>
  <c r="M201" i="1"/>
  <c r="M208" i="1"/>
  <c r="M199" i="1"/>
  <c r="M207" i="1"/>
  <c r="M215" i="1"/>
  <c r="M200" i="1"/>
  <c r="M217" i="1"/>
  <c r="M202" i="1"/>
  <c r="M206" i="1"/>
  <c r="M210" i="1"/>
  <c r="M214" i="1"/>
  <c r="M222" i="1"/>
  <c r="E241" i="1"/>
  <c r="M218" i="1"/>
  <c r="M198" i="1"/>
  <c r="M191" i="1"/>
  <c r="M196" i="1"/>
  <c r="M176" i="1"/>
  <c r="M180" i="1"/>
  <c r="M192" i="1"/>
  <c r="M187" i="1"/>
  <c r="M175" i="1"/>
  <c r="M197" i="1"/>
  <c r="M183" i="1"/>
  <c r="M193" i="1"/>
  <c r="M188" i="1"/>
  <c r="M195" i="1"/>
  <c r="M185" i="1"/>
  <c r="M179" i="1"/>
  <c r="M184" i="1"/>
  <c r="M189" i="1"/>
  <c r="M194" i="1"/>
  <c r="M173" i="1"/>
  <c r="M177" i="1"/>
  <c r="M181" i="1"/>
  <c r="M178" i="1"/>
  <c r="M190" i="1"/>
  <c r="M182" i="1"/>
  <c r="M186" i="1"/>
  <c r="M174" i="1"/>
  <c r="M166" i="1"/>
  <c r="M170" i="1"/>
  <c r="M168" i="1"/>
  <c r="M167" i="1"/>
  <c r="M171" i="1"/>
  <c r="M169" i="1"/>
  <c r="M165" i="1"/>
  <c r="M162" i="1"/>
  <c r="M163" i="1"/>
  <c r="M161" i="1"/>
  <c r="M159" i="1"/>
  <c r="M160" i="1"/>
  <c r="M135" i="1"/>
  <c r="M143" i="1"/>
  <c r="M136" i="1"/>
  <c r="M137" i="1"/>
  <c r="M145" i="1"/>
  <c r="M139" i="1"/>
  <c r="M138" i="1"/>
  <c r="M146" i="1"/>
  <c r="M147" i="1"/>
  <c r="M140" i="1"/>
  <c r="M148" i="1"/>
  <c r="M141" i="1"/>
  <c r="M149" i="1"/>
  <c r="M142" i="1"/>
  <c r="M144" i="1"/>
  <c r="M131" i="1"/>
  <c r="M132" i="1"/>
  <c r="M155" i="1"/>
  <c r="M153" i="1"/>
  <c r="M130" i="1"/>
  <c r="M134" i="1"/>
  <c r="M127" i="1"/>
  <c r="M150" i="1"/>
  <c r="M128" i="1"/>
  <c r="M151" i="1"/>
  <c r="M154" i="1"/>
  <c r="M152" i="1"/>
  <c r="M133" i="1"/>
  <c r="M129" i="1"/>
  <c r="M83" i="1"/>
  <c r="M87" i="1"/>
  <c r="M91" i="1"/>
  <c r="M95" i="1"/>
  <c r="M99" i="1"/>
  <c r="M103" i="1"/>
  <c r="M107" i="1"/>
  <c r="M111" i="1"/>
  <c r="M115" i="1"/>
  <c r="M119" i="1"/>
  <c r="M123" i="1"/>
  <c r="M126" i="1"/>
  <c r="M125" i="1"/>
  <c r="M90" i="1"/>
  <c r="M110" i="1"/>
  <c r="M117" i="1"/>
  <c r="M94" i="1"/>
  <c r="M102" i="1"/>
  <c r="M118" i="1"/>
  <c r="M89" i="1"/>
  <c r="M93" i="1"/>
  <c r="M97" i="1"/>
  <c r="M101" i="1"/>
  <c r="M105" i="1"/>
  <c r="M109" i="1"/>
  <c r="M113" i="1"/>
  <c r="M121" i="1"/>
  <c r="M98" i="1"/>
  <c r="M106" i="1"/>
  <c r="M122" i="1"/>
  <c r="M86" i="1"/>
  <c r="M114" i="1"/>
  <c r="M100" i="1"/>
  <c r="M112" i="1"/>
  <c r="M96" i="1"/>
  <c r="M84" i="1"/>
  <c r="M120" i="1"/>
  <c r="M85" i="1"/>
  <c r="M104" i="1"/>
  <c r="M88" i="1"/>
  <c r="M124" i="1"/>
  <c r="M92" i="1"/>
  <c r="M108" i="1"/>
  <c r="M116" i="1"/>
  <c r="M78" i="1"/>
  <c r="M81" i="1"/>
  <c r="M80" i="1"/>
  <c r="M79" i="1"/>
  <c r="M74" i="1"/>
  <c r="M75" i="1"/>
  <c r="M76" i="1"/>
  <c r="M164" i="1"/>
  <c r="M158" i="1"/>
  <c r="M172" i="1"/>
  <c r="M157" i="1"/>
  <c r="M156" i="1"/>
  <c r="M82" i="1"/>
  <c r="M77" i="1"/>
  <c r="M71" i="1"/>
  <c r="M63" i="1"/>
  <c r="M61" i="1"/>
  <c r="M70" i="1"/>
  <c r="M62" i="1"/>
  <c r="M69" i="1"/>
  <c r="M68" i="1"/>
  <c r="M64" i="1"/>
  <c r="M67" i="1"/>
  <c r="M66" i="1"/>
  <c r="M73" i="1"/>
  <c r="M65" i="1"/>
  <c r="M72" i="1"/>
  <c r="F25" i="3"/>
  <c r="E37" i="8"/>
  <c r="E30" i="8"/>
  <c r="F30" i="8"/>
  <c r="E28" i="8"/>
  <c r="F28" i="8"/>
  <c r="E27" i="8"/>
  <c r="F27" i="8"/>
  <c r="E26" i="8"/>
  <c r="E24" i="8"/>
  <c r="F24" i="8"/>
  <c r="E23" i="8"/>
  <c r="F23" i="8"/>
  <c r="E22" i="8"/>
  <c r="F22" i="8"/>
  <c r="C88" i="10"/>
  <c r="E36" i="8"/>
  <c r="C36" i="8"/>
  <c r="C22" i="9"/>
  <c r="F13" i="15"/>
  <c r="F11" i="15"/>
  <c r="D108" i="9"/>
  <c r="C108" i="9"/>
  <c r="I14" i="15"/>
  <c r="I19" i="15"/>
  <c r="C57" i="10"/>
  <c r="F33" i="3"/>
  <c r="F32" i="3"/>
  <c r="F37" i="3"/>
  <c r="D57" i="10"/>
  <c r="G33" i="3"/>
  <c r="G32" i="3"/>
  <c r="G37" i="3"/>
  <c r="D22" i="9"/>
  <c r="D13" i="3"/>
  <c r="D42" i="12"/>
  <c r="D16" i="4"/>
  <c r="C74" i="12"/>
  <c r="C25" i="4"/>
  <c r="C22" i="4"/>
  <c r="D74" i="12"/>
  <c r="D25" i="4"/>
  <c r="D22" i="4"/>
  <c r="C42" i="12"/>
  <c r="K11" i="15"/>
  <c r="K20" i="15"/>
  <c r="L18" i="15"/>
  <c r="M18" i="15"/>
  <c r="G14" i="15"/>
  <c r="M14" i="15"/>
  <c r="J11" i="15"/>
  <c r="J19" i="15"/>
  <c r="G11" i="15"/>
  <c r="D88" i="10"/>
  <c r="G13" i="3"/>
  <c r="C50" i="9"/>
  <c r="C21" i="3"/>
  <c r="D27" i="10"/>
  <c r="D25" i="3"/>
  <c r="D57" i="9"/>
  <c r="D22" i="3"/>
  <c r="D19" i="3"/>
  <c r="C19" i="15"/>
  <c r="D32" i="5"/>
  <c r="E20" i="15"/>
  <c r="E19" i="15"/>
  <c r="C20" i="15"/>
  <c r="M20" i="15"/>
  <c r="D20" i="15"/>
  <c r="F20" i="3"/>
  <c r="D32" i="4"/>
  <c r="D26" i="4"/>
  <c r="C104" i="12"/>
  <c r="C32" i="4"/>
  <c r="C26" i="4"/>
  <c r="D55" i="12"/>
  <c r="C55" i="12"/>
  <c r="C19" i="4"/>
  <c r="C17" i="4"/>
  <c r="M95" i="9"/>
  <c r="F33" i="9"/>
  <c r="C13" i="13"/>
  <c r="C35" i="4"/>
  <c r="M96" i="9"/>
  <c r="C32" i="3"/>
  <c r="C15" i="3"/>
  <c r="C27" i="10"/>
  <c r="L97" i="9"/>
  <c r="C57" i="9"/>
  <c r="C22" i="3"/>
  <c r="D37" i="13"/>
  <c r="D42" i="4"/>
  <c r="C37" i="13"/>
  <c r="C42" i="4"/>
  <c r="C30" i="13"/>
  <c r="C39" i="4"/>
  <c r="D30" i="13"/>
  <c r="D39" i="4"/>
  <c r="D13" i="13"/>
  <c r="C93" i="10"/>
  <c r="F12" i="3"/>
  <c r="D93" i="10"/>
  <c r="G12" i="3"/>
  <c r="C47" i="10"/>
  <c r="F18" i="3"/>
  <c r="D47" i="10"/>
  <c r="G18" i="3"/>
  <c r="C42" i="10"/>
  <c r="F17" i="3"/>
  <c r="G17" i="3"/>
  <c r="G25" i="3"/>
  <c r="G20" i="3"/>
  <c r="D46" i="3"/>
  <c r="D32" i="3"/>
  <c r="C46" i="3"/>
  <c r="H19" i="15"/>
  <c r="D15" i="3"/>
  <c r="D19" i="4"/>
  <c r="D17" i="4"/>
  <c r="M97" i="9"/>
  <c r="L98" i="9"/>
  <c r="M98" i="9"/>
  <c r="C13" i="3"/>
  <c r="C11" i="3"/>
  <c r="D11" i="3"/>
  <c r="D29" i="3"/>
  <c r="D41" i="5"/>
  <c r="D43" i="5"/>
  <c r="C19" i="3"/>
  <c r="G11" i="3"/>
  <c r="D24" i="3"/>
  <c r="D19" i="15"/>
  <c r="M13" i="15"/>
  <c r="D55" i="3"/>
  <c r="G16" i="3"/>
  <c r="F13" i="3"/>
  <c r="F11" i="3"/>
  <c r="E240" i="1"/>
  <c r="E242" i="1"/>
  <c r="D8" i="4"/>
  <c r="C16" i="4"/>
  <c r="C8" i="4"/>
  <c r="L20" i="15"/>
  <c r="K19" i="15"/>
  <c r="F16" i="3"/>
  <c r="C25" i="3"/>
  <c r="M237" i="1"/>
  <c r="F26" i="8"/>
  <c r="F19" i="15"/>
  <c r="J20" i="15"/>
  <c r="G19" i="15"/>
  <c r="F20" i="15"/>
  <c r="G20" i="15"/>
  <c r="N11" i="15"/>
  <c r="N20" i="15"/>
  <c r="G29" i="3"/>
  <c r="G40" i="3"/>
  <c r="G56" i="3"/>
  <c r="C24" i="3"/>
  <c r="C29" i="3"/>
  <c r="F29" i="3"/>
  <c r="C21" i="4"/>
  <c r="C33" i="4"/>
  <c r="C44" i="4"/>
  <c r="C47" i="4"/>
  <c r="D21" i="4"/>
  <c r="D33" i="4"/>
  <c r="D56" i="3"/>
  <c r="C41" i="3"/>
  <c r="L19" i="15"/>
  <c r="M19" i="15"/>
  <c r="C43" i="5"/>
  <c r="F40" i="3"/>
  <c r="F56" i="3"/>
  <c r="D44" i="4"/>
  <c r="D47" i="4"/>
  <c r="C55" i="3"/>
  <c r="C56" i="3"/>
</calcChain>
</file>

<file path=xl/sharedStrings.xml><?xml version="1.0" encoding="utf-8"?>
<sst xmlns="http://schemas.openxmlformats.org/spreadsheetml/2006/main" count="1544" uniqueCount="781">
  <si>
    <t xml:space="preserve">INFORMACION GENERAL DE LA ENTIDAD </t>
  </si>
  <si>
    <t>CARGO</t>
  </si>
  <si>
    <t>NOMBRE Y APELLIDO</t>
  </si>
  <si>
    <t xml:space="preserve">Presidente </t>
  </si>
  <si>
    <t>Vicepresidente</t>
  </si>
  <si>
    <t>Capital a Integrar</t>
  </si>
  <si>
    <t>Cantidad</t>
  </si>
  <si>
    <t>Activo</t>
  </si>
  <si>
    <t>PERIODO    ACTUAL</t>
  </si>
  <si>
    <t>PASIVO</t>
  </si>
  <si>
    <t>Activo Corriente</t>
  </si>
  <si>
    <t xml:space="preserve">Caja                                                                                              </t>
  </si>
  <si>
    <t>Bancos</t>
  </si>
  <si>
    <t>Títulos de Renta Variable</t>
  </si>
  <si>
    <t>Títulos de Renta Fija</t>
  </si>
  <si>
    <t>Inventario</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</si>
  <si>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</si>
  <si>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</si>
  <si>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</si>
  <si>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</si>
  <si>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</si>
  <si>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</si>
  <si>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</si>
  <si>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</si>
  <si>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</si>
  <si>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</si>
  <si>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</si>
  <si>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</si>
  <si>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</si>
  <si>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</si>
  <si>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</si>
  <si>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</si>
  <si>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</si>
  <si>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</si>
  <si>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</si>
  <si>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</si>
  <si>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</si>
  <si>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</si>
  <si>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</si>
  <si>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</si>
  <si>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</si>
  <si>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</si>
  <si>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</si>
  <si>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</si>
  <si>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</si>
  <si>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</si>
  <si>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</si>
  <si>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</si>
  <si>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</si>
  <si>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</si>
  <si>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</si>
  <si>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</si>
  <si>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</si>
  <si>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</si>
  <si>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</si>
  <si>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</si>
  <si>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</si>
  <si>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</si>
  <si>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</si>
  <si>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</si>
  <si>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</si>
  <si>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</si>
  <si>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</si>
  <si>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</si>
  <si>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</si>
  <si>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</si>
  <si>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</si>
  <si>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</si>
  <si>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</si>
  <si>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</si>
  <si>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</si>
  <si>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</si>
  <si>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</si>
  <si>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</si>
  <si>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</si>
  <si>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</si>
  <si>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</si>
  <si>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</si>
  <si>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</si>
  <si>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</si>
  <si>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</si>
  <si>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</si>
  <si>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</si>
  <si>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</si>
  <si>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</si>
  <si>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</si>
  <si>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</si>
  <si>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</si>
  <si>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</si>
  <si>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</si>
  <si>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</si>
  <si>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</si>
  <si>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</si>
  <si>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</si>
  <si>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</si>
  <si>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</si>
  <si>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</si>
  <si>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</si>
  <si>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</si>
  <si>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</si>
  <si>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</si>
  <si>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</si>
  <si>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</si>
  <si>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</si>
  <si>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</si>
  <si>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</si>
  <si>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</si>
  <si>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</si>
  <si>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</si>
  <si>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</si>
  <si>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</si>
  <si>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</si>
  <si>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</si>
  <si>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</si>
  <si>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</si>
  <si>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</si>
  <si>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</si>
  <si>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</si>
  <si>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</si>
  <si>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</si>
  <si>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</si>
  <si>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</si>
  <si>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</si>
  <si>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</si>
  <si>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</si>
  <si>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Suscripto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</si>
  <si>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</si>
  <si>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</si>
  <si>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</si>
  <si>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</si>
  <si>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</si>
  <si>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</si>
  <si>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</si>
  <si>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</si>
  <si>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</si>
  <si>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</si>
  <si>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</si>
  <si>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</si>
  <si>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</si>
  <si>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</si>
  <si>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</si>
  <si>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</si>
  <si>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</si>
  <si>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</si>
  <si>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</si>
  <si>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</si>
  <si>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</si>
  <si>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</si>
  <si>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</si>
  <si>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</si>
  <si>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</si>
  <si>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</si>
  <si>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</si>
  <si>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</si>
  <si>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</si>
  <si>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</si>
  <si>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</si>
  <si>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</si>
  <si>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</si>
  <si>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</si>
  <si>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</si>
  <si>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</si>
  <si>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</si>
  <si>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</si>
  <si>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</si>
  <si>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</si>
  <si>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</si>
  <si>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</si>
  <si>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</si>
  <si>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</si>
  <si>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</si>
  <si>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</si>
  <si>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</si>
  <si>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</si>
  <si>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</si>
  <si>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</si>
  <si>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</si>
  <si>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</si>
  <si>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</si>
  <si>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</si>
  <si>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</si>
  <si>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Fondo Fijo</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</si>
  <si>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</si>
  <si>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</si>
  <si>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</si>
  <si>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</si>
  <si>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</si>
  <si>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</si>
  <si>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</si>
  <si>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</si>
  <si>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</si>
  <si>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</si>
  <si>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</si>
  <si>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</si>
  <si>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</si>
  <si>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</si>
  <si>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</si>
  <si>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</si>
  <si>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</si>
  <si>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</si>
  <si>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</si>
  <si>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</si>
  <si>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</si>
  <si>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</si>
  <si>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</si>
  <si>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</si>
  <si>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</si>
  <si>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</si>
  <si>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</si>
  <si>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</si>
  <si>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</si>
  <si>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</si>
  <si>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</si>
  <si>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</si>
  <si>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</si>
  <si>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</si>
  <si>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</si>
  <si>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</si>
  <si>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</si>
  <si>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</si>
  <si>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</si>
  <si>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</si>
  <si>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</si>
  <si>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</si>
  <si>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</si>
  <si>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</si>
  <si>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</si>
  <si>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</si>
  <si>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</si>
  <si>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</si>
  <si>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</si>
  <si>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</si>
  <si>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</si>
  <si>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</si>
  <si>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</si>
  <si>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</si>
  <si>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</si>
  <si>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</si>
  <si>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</si>
  <si>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</si>
  <si>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</si>
  <si>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</si>
  <si>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</si>
  <si>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</si>
  <si>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</si>
  <si>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</si>
  <si>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</si>
  <si>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</si>
  <si>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</si>
  <si>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</si>
  <si>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</si>
  <si>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</si>
  <si>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</si>
  <si>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</si>
  <si>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</si>
  <si>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</si>
  <si>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</si>
  <si>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</si>
  <si>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</si>
  <si>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</si>
  <si>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</si>
  <si>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</si>
  <si>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</si>
  <si>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</si>
  <si>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</si>
  <si>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</si>
  <si>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</si>
  <si>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</si>
  <si>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</si>
  <si>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Venta de Acciones</t>
  </si>
  <si>
    <t>Venta de Bonos</t>
  </si>
  <si>
    <t>Otros ingresos</t>
  </si>
  <si>
    <t>w) Otros gastos operativos, de comercialización y de administración</t>
  </si>
  <si>
    <t>Aranceles por Negociación Bolsa de Valores</t>
  </si>
  <si>
    <t xml:space="preserve">Período Actual </t>
  </si>
  <si>
    <t xml:space="preserve">      anterior en Gs.</t>
  </si>
  <si>
    <t>Aranceles por negociación en Bolsa</t>
  </si>
  <si>
    <t xml:space="preserve">Gastos Administrativos - BVPASA </t>
  </si>
  <si>
    <t>Aranceles – CNV y SEPRELAD</t>
  </si>
  <si>
    <t xml:space="preserve"> Igual Período de año  </t>
  </si>
  <si>
    <t>Otros Gastos de Comercialización</t>
  </si>
  <si>
    <t>Gastos de movilidad</t>
  </si>
  <si>
    <t>Combustibles y Lubricantes</t>
  </si>
  <si>
    <t xml:space="preserve">Otros Gastos de Administración </t>
  </si>
  <si>
    <t>Aporte patronal</t>
  </si>
  <si>
    <t>Aguinaldos pagados</t>
  </si>
  <si>
    <t>Vacaciones pagadas</t>
  </si>
  <si>
    <t>Indemnizaciones</t>
  </si>
  <si>
    <t>Remuneración personal superior</t>
  </si>
  <si>
    <t>Honorarios profesionales</t>
  </si>
  <si>
    <t>Gratificaciones</t>
  </si>
  <si>
    <t>Alquileres</t>
  </si>
  <si>
    <t>Útiles de oficina</t>
  </si>
  <si>
    <t>Comisiones y gastos bancarios operacionales</t>
  </si>
  <si>
    <t>Multas y recargos</t>
  </si>
  <si>
    <t>Gastos de consumición y limpieza</t>
  </si>
  <si>
    <t>Seguridad y vigilancia</t>
  </si>
  <si>
    <t xml:space="preserve">Gastos no deducibles                     </t>
  </si>
  <si>
    <t>Servicios contratados</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</si>
  <si>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</si>
  <si>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</si>
  <si>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</si>
  <si>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</si>
  <si>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</si>
  <si>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</si>
  <si>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</si>
  <si>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</si>
  <si>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</si>
  <si>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</si>
  <si>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</si>
  <si>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</si>
  <si>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</si>
  <si>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</si>
  <si>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</si>
  <si>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</si>
  <si>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</si>
  <si>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</si>
  <si>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</si>
  <si>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</si>
  <si>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</si>
  <si>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</si>
  <si>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</si>
  <si>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</si>
  <si>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</si>
  <si>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</si>
  <si>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</si>
  <si>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</si>
  <si>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</si>
  <si>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</si>
  <si>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</si>
  <si>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</si>
  <si>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</si>
  <si>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</si>
  <si>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</si>
  <si>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</si>
  <si>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</si>
  <si>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</si>
  <si>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</si>
  <si>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</si>
  <si>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</si>
  <si>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</si>
  <si>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</si>
  <si>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</si>
  <si>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</si>
  <si>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</si>
  <si>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</si>
  <si>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</si>
  <si>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</si>
  <si>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</si>
  <si>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</si>
  <si>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</si>
  <si>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</si>
  <si>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</si>
  <si>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</si>
  <si>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 xml:space="preserve">Ingresos por Operaciones y servicios extrabursatiles </t>
  </si>
  <si>
    <t>Ingresos por Servicios de Rep. De Tenedores</t>
  </si>
  <si>
    <t>Agua, Luz y Telefono</t>
  </si>
  <si>
    <t>Intereses Pagados</t>
  </si>
  <si>
    <t>facultativa</t>
  </si>
  <si>
    <t>USD</t>
  </si>
  <si>
    <t>BOLSA DE VALORES Y PRODUCTOS DE ASUNCION S.A.</t>
  </si>
  <si>
    <t>ACCION</t>
  </si>
  <si>
    <t xml:space="preserve">  CONCEPTO</t>
  </si>
  <si>
    <t xml:space="preserve"> CONCEPTO</t>
  </si>
  <si>
    <t>Capital Social</t>
  </si>
  <si>
    <t>Capital Emitido</t>
  </si>
  <si>
    <t>N°</t>
  </si>
  <si>
    <t>ACCIONISTA</t>
  </si>
  <si>
    <t xml:space="preserve">SERIE </t>
  </si>
  <si>
    <t>CLASE</t>
  </si>
  <si>
    <t>VOTO</t>
  </si>
  <si>
    <t xml:space="preserve">CANTIDAD ACCIONES </t>
  </si>
  <si>
    <t xml:space="preserve">MONTO </t>
  </si>
  <si>
    <t>% PARTIC.CAPITAL INTEGRADO</t>
  </si>
  <si>
    <t>Ordinaria</t>
  </si>
  <si>
    <t xml:space="preserve"> </t>
  </si>
  <si>
    <t>Capital Suscripto e Integrado</t>
  </si>
  <si>
    <t>Anticipo a Proveedores</t>
  </si>
  <si>
    <t xml:space="preserve">Reservas  </t>
  </si>
  <si>
    <t>Aporte p/ futuras Capitalizaciones</t>
  </si>
  <si>
    <t>Sindico</t>
  </si>
  <si>
    <t>Nombre</t>
  </si>
  <si>
    <t>Cargo</t>
  </si>
  <si>
    <t>PASIVOS CORRIENTES</t>
  </si>
  <si>
    <t>Seguros a Devengar</t>
  </si>
  <si>
    <t>Intereses Financieros</t>
  </si>
  <si>
    <t>Intereses Bursatiles Titulos/Bonos</t>
  </si>
  <si>
    <t>Impresiones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</si>
  <si>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</si>
  <si>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</si>
  <si>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</si>
  <si>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</si>
  <si>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1.            IDENTIFICACIÓN</t>
  </si>
  <si>
    <t>Razón Social:</t>
  </si>
  <si>
    <t>Registro CNV:</t>
  </si>
  <si>
    <t>Código Bolsa:</t>
  </si>
  <si>
    <t>Dirección Oficina Principal:</t>
  </si>
  <si>
    <t>Teléfono:</t>
  </si>
  <si>
    <t>E-mail:</t>
  </si>
  <si>
    <t>Sitio Página Web:</t>
  </si>
  <si>
    <t>Domicilio Legal:</t>
  </si>
  <si>
    <t>RUC N°</t>
  </si>
  <si>
    <t xml:space="preserve">2.            ANTECEDENTES DE CONSTITUCIÓN </t>
  </si>
  <si>
    <t xml:space="preserve">3.            ADMINISTRACION </t>
  </si>
  <si>
    <t>Representantes Legales</t>
  </si>
  <si>
    <t>Presidente</t>
  </si>
  <si>
    <t>Vice-presidente</t>
  </si>
  <si>
    <t>Plana Ejecutiva</t>
  </si>
  <si>
    <t>Auditoría Interna</t>
  </si>
  <si>
    <t>Contador</t>
  </si>
  <si>
    <t>Dora Busto de Arzamendia</t>
  </si>
  <si>
    <t xml:space="preserve">4.            CAPITAL Y PROPIEDAD </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</si>
  <si>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</si>
  <si>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</si>
  <si>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</si>
  <si>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</si>
  <si>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</si>
  <si>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</si>
  <si>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</si>
  <si>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</si>
  <si>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</si>
  <si>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</si>
  <si>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</si>
  <si>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</si>
  <si>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</si>
  <si>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</si>
  <si>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</si>
  <si>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</si>
  <si>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</si>
  <si>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t>CUADRO DE  CAPITAL SUSCRIPTO E INTEGRADO</t>
  </si>
  <si>
    <t>Auditor Interno</t>
  </si>
  <si>
    <t>CANTIDAD VOTOS</t>
  </si>
  <si>
    <t xml:space="preserve">5.            CAPITAL Y PROPIEDAD </t>
  </si>
  <si>
    <t>AUDITOR EXTERNO INDEPENDIENTE</t>
  </si>
  <si>
    <t>Nombre:</t>
  </si>
  <si>
    <t>Dirección:</t>
  </si>
  <si>
    <t>RUC:</t>
  </si>
  <si>
    <t xml:space="preserve">6.            CAPITAL Y PROPIEDAD </t>
  </si>
  <si>
    <t>PERSONAS Y EMPRESAS VINCULADAS</t>
  </si>
  <si>
    <t xml:space="preserve">Director  </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</si>
  <si>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</si>
  <si>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</si>
  <si>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</si>
  <si>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Aseguradora Paraguaya S.A.E.C.A.</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</si>
  <si>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</si>
  <si>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</si>
  <si>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</si>
  <si>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</si>
  <si>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</si>
  <si>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</si>
  <si>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</si>
  <si>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</si>
  <si>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</si>
  <si>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</si>
  <si>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Gs. 548.209.750.-</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</si>
  <si>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</si>
  <si>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</si>
  <si>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</si>
  <si>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</si>
  <si>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</si>
  <si>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</si>
  <si>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</si>
  <si>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</si>
  <si>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</si>
  <si>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</si>
  <si>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</si>
  <si>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80009706-8</t>
  </si>
  <si>
    <t>Tte. Nuñez 295 entre El Dorado y Tte. Ricardo Cocco</t>
  </si>
  <si>
    <t>021-201.255</t>
  </si>
  <si>
    <t>info@capitalmarkets.com.py</t>
  </si>
  <si>
    <t xml:space="preserve"> www.capitalmarkets.com.py</t>
  </si>
  <si>
    <t xml:space="preserve">Daniel Andrés Moreno Bogarín </t>
  </si>
  <si>
    <t>Rodney Russell Banks Magnani</t>
  </si>
  <si>
    <t>Rómulo Chang Ming Yuan</t>
  </si>
  <si>
    <t>Director Titular</t>
  </si>
  <si>
    <t>Director Suplente</t>
  </si>
  <si>
    <t>Matias Andrés Moreno Pérez</t>
  </si>
  <si>
    <t>José David Rolón Bogado</t>
  </si>
  <si>
    <t>Javier Eduardo Benitez Pereira</t>
  </si>
  <si>
    <t>Sindico Suplente</t>
  </si>
  <si>
    <t>Juan Manuel Romero</t>
  </si>
  <si>
    <t xml:space="preserve">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t>
  </si>
  <si>
    <t>G.3.332.300.000</t>
  </si>
  <si>
    <t>Numero del titulo</t>
  </si>
  <si>
    <t>Del</t>
  </si>
  <si>
    <t>Al</t>
  </si>
  <si>
    <t>Alberto Acosta</t>
  </si>
  <si>
    <t>II</t>
  </si>
  <si>
    <t>XI</t>
  </si>
  <si>
    <t>LI</t>
  </si>
  <si>
    <t>I</t>
  </si>
  <si>
    <t>XXI</t>
  </si>
  <si>
    <t>Eleonora Scavone</t>
  </si>
  <si>
    <t>CII</t>
  </si>
  <si>
    <t>X</t>
  </si>
  <si>
    <t>CIII</t>
  </si>
  <si>
    <t>CIV</t>
  </si>
  <si>
    <t>CV</t>
  </si>
  <si>
    <t>CVI</t>
  </si>
  <si>
    <t>XVIII</t>
  </si>
  <si>
    <t>XXIX</t>
  </si>
  <si>
    <t>CXXXVIII</t>
  </si>
  <si>
    <t>LXXXIX</t>
  </si>
  <si>
    <t>XIII</t>
  </si>
  <si>
    <t>LXXXX</t>
  </si>
  <si>
    <t>XIV</t>
  </si>
  <si>
    <t>Elizabeth Yegros</t>
  </si>
  <si>
    <t>IV</t>
  </si>
  <si>
    <t>VII</t>
  </si>
  <si>
    <t>XXIV</t>
  </si>
  <si>
    <t>Claudia Roa</t>
  </si>
  <si>
    <t>Emerging MC</t>
  </si>
  <si>
    <t>III</t>
  </si>
  <si>
    <t>VIII</t>
  </si>
  <si>
    <t>XXXVII</t>
  </si>
  <si>
    <t>XXXXVI</t>
  </si>
  <si>
    <t>XXV</t>
  </si>
  <si>
    <t>Ming Chi Wu</t>
  </si>
  <si>
    <t>IX</t>
  </si>
  <si>
    <t>V</t>
  </si>
  <si>
    <t>VI</t>
  </si>
  <si>
    <t>XXVI</t>
  </si>
  <si>
    <t>XXVII</t>
  </si>
  <si>
    <t>XXVIII</t>
  </si>
  <si>
    <t>XXX</t>
  </si>
  <si>
    <t>XXXI</t>
  </si>
  <si>
    <t>XXXII</t>
  </si>
  <si>
    <t>XII</t>
  </si>
  <si>
    <t>XXXIX</t>
  </si>
  <si>
    <t>XXXXII</t>
  </si>
  <si>
    <t>XXXXIII</t>
  </si>
  <si>
    <t>XXXXIX</t>
  </si>
  <si>
    <t>XXXXVII</t>
  </si>
  <si>
    <t>XXXXVIII</t>
  </si>
  <si>
    <t>L</t>
  </si>
  <si>
    <t>LII</t>
  </si>
  <si>
    <t>XV</t>
  </si>
  <si>
    <t>XVI</t>
  </si>
  <si>
    <t>XVII</t>
  </si>
  <si>
    <t>XIX</t>
  </si>
  <si>
    <t>XX</t>
  </si>
  <si>
    <t>XXII</t>
  </si>
  <si>
    <t>XXIII</t>
  </si>
  <si>
    <t>XXXX</t>
  </si>
  <si>
    <t>XXXXI</t>
  </si>
  <si>
    <t>Hernán Velilla</t>
  </si>
  <si>
    <t>XXXVIII</t>
  </si>
  <si>
    <t>Jorge Denis</t>
  </si>
  <si>
    <t>LXI</t>
  </si>
  <si>
    <t>LXII</t>
  </si>
  <si>
    <t>LXIII</t>
  </si>
  <si>
    <t>LXIV</t>
  </si>
  <si>
    <t>LXV</t>
  </si>
  <si>
    <t>LXVI</t>
  </si>
  <si>
    <t>LXVII</t>
  </si>
  <si>
    <t>LXVIII</t>
  </si>
  <si>
    <t>LXIX</t>
  </si>
  <si>
    <t>LXX</t>
  </si>
  <si>
    <t>LXXI</t>
  </si>
  <si>
    <t>LXXII</t>
  </si>
  <si>
    <t>LXXIII</t>
  </si>
  <si>
    <t>LXXIV</t>
  </si>
  <si>
    <t>LXXV</t>
  </si>
  <si>
    <t>LXXVI</t>
  </si>
  <si>
    <t>LXXVII</t>
  </si>
  <si>
    <t>CXXV</t>
  </si>
  <si>
    <t>XXXIV</t>
  </si>
  <si>
    <t>CXLVIII</t>
  </si>
  <si>
    <t>XXXVI</t>
  </si>
  <si>
    <t>CLVII</t>
  </si>
  <si>
    <t>XXXXXXV</t>
  </si>
  <si>
    <t>CCI</t>
  </si>
  <si>
    <t>XXXXXXVI</t>
  </si>
  <si>
    <t>CCII</t>
  </si>
  <si>
    <t>LXXXVI</t>
  </si>
  <si>
    <t>Juan M. Peña</t>
  </si>
  <si>
    <t>LXXXV</t>
  </si>
  <si>
    <t>Quantum Fund</t>
  </si>
  <si>
    <t>XXXV</t>
  </si>
  <si>
    <t>LXXXVII</t>
  </si>
  <si>
    <t>LXXXVIII</t>
  </si>
  <si>
    <t>Sergio Britos</t>
  </si>
  <si>
    <t>SSBank</t>
  </si>
  <si>
    <t>Daniel Moreno Bogarín</t>
  </si>
  <si>
    <t>XXXXX</t>
  </si>
  <si>
    <t>XXXXXI</t>
  </si>
  <si>
    <t>XXXXXII</t>
  </si>
  <si>
    <t>XXXXXIII</t>
  </si>
  <si>
    <t>XXXXXIV</t>
  </si>
  <si>
    <t>XXXXXV</t>
  </si>
  <si>
    <t>XXXXXVI</t>
  </si>
  <si>
    <t>XXXXXVII</t>
  </si>
  <si>
    <t>XXXXXVIII</t>
  </si>
  <si>
    <t>XXXXXIX</t>
  </si>
  <si>
    <t>XXXXXX</t>
  </si>
  <si>
    <t>XXXXXXI</t>
  </si>
  <si>
    <t>XXXXXXII</t>
  </si>
  <si>
    <t>XXXXXXIII</t>
  </si>
  <si>
    <t>XXXXXXIV</t>
  </si>
  <si>
    <t>Yuan Rómulo Chang Ming</t>
  </si>
  <si>
    <t>XXXXIV</t>
  </si>
  <si>
    <t>XXXXV</t>
  </si>
  <si>
    <t>CEIDOR S.R.L.</t>
  </si>
  <si>
    <t>Cristian Maximiliano Romero M.</t>
  </si>
  <si>
    <t>Cheng Fang Hsiao</t>
  </si>
  <si>
    <t>Carlos Martin Santiago Storm Garcete</t>
  </si>
  <si>
    <t>Jorge Alberto Storm Garcete</t>
  </si>
  <si>
    <t>Celeste Huergo Vietto</t>
  </si>
  <si>
    <t>Preferidas</t>
  </si>
  <si>
    <t>Totales Generales</t>
  </si>
  <si>
    <t>Daniel Moreno</t>
  </si>
  <si>
    <t>Rodney Russell Banks</t>
  </si>
  <si>
    <t>Ind. Nacional 821</t>
  </si>
  <si>
    <t>80004702-8</t>
  </si>
  <si>
    <t>Consultores y contadores de Empresas - CYCE</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</si>
  <si>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</si>
  <si>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Distribucion de Acciones</t>
  </si>
  <si>
    <t>Ordinarias Nominativas</t>
  </si>
  <si>
    <t>Preferidas Nominativas</t>
  </si>
  <si>
    <t>Porcentaje</t>
  </si>
  <si>
    <t>Bancop Cta. Corrientes USD 0410142603</t>
  </si>
  <si>
    <t>El Comercio Cta. Ahorro USD.</t>
  </si>
  <si>
    <t>Bancop Caja de Ahorro JS USD 0410165042</t>
  </si>
  <si>
    <t>Inversiones En Bonos Usd Cp</t>
  </si>
  <si>
    <t>Intereses A Cobrar Usd</t>
  </si>
  <si>
    <t>(-) Intereses Bursatil A Devengar</t>
  </si>
  <si>
    <t>s/ Cuentas pasivas</t>
  </si>
  <si>
    <t>Bancop Cta.Cte.GS 0410015970</t>
  </si>
  <si>
    <t>Bancop Cta. Propia CMCB GS 0410145254</t>
  </si>
  <si>
    <t>El Comercio Cta. Ahorro Guaraníes</t>
  </si>
  <si>
    <t>Tu Financiera Ahorro Gs.</t>
  </si>
  <si>
    <t>Bancop Caja de Ahorro HCHW GS 0410168122</t>
  </si>
  <si>
    <t>Bancop Caja de Ahorro CH GS 0410168114</t>
  </si>
  <si>
    <t>TRANSFERENCIAS PENDIENTES DE CLEARING</t>
  </si>
  <si>
    <t>Bancop Caja de Ahorro CHFC GS 0410165034</t>
  </si>
  <si>
    <t>Documentos a cobrar – Servicios Integrales para la Producción</t>
  </si>
  <si>
    <t>Documentos a cobrar – Gustavo Sanabria</t>
  </si>
  <si>
    <t>Remuneración a Rendir</t>
  </si>
  <si>
    <t>Intereses a Vencer</t>
  </si>
  <si>
    <r>
      <t>b-</t>
    </r>
    <r>
      <rPr>
        <b/>
        <sz val="10"/>
        <color indexed="8"/>
        <rFont val="Arial Nova"/>
        <family val="2"/>
      </rPr>
      <t>      Otros Activos No Corrientes</t>
    </r>
  </si>
  <si>
    <t>Otros Activos no Corrientes(Nota 5. j)</t>
  </si>
  <si>
    <t>Deudores En Gestión De Cobro – Morosos O Similares</t>
  </si>
  <si>
    <t>Bancop S.A.</t>
  </si>
  <si>
    <t>Oliservice SRL</t>
  </si>
  <si>
    <t>Zusa SACI</t>
  </si>
  <si>
    <t>Cynthia Teresa Fatecha</t>
  </si>
  <si>
    <t>Venecia SA</t>
  </si>
  <si>
    <t>Essap S.A.</t>
  </si>
  <si>
    <t>Copaco SA</t>
  </si>
  <si>
    <t>Distribuidora El Arte</t>
  </si>
  <si>
    <t>Juan Carlos Busto</t>
  </si>
  <si>
    <t>Lux Professional SA</t>
  </si>
  <si>
    <t>AMX Paraguay SA</t>
  </si>
  <si>
    <t>Cadiem CBSA</t>
  </si>
  <si>
    <t>Telefonía Celular del Paraguay</t>
  </si>
  <si>
    <t>Escribania Maria Idelina Villalba</t>
  </si>
  <si>
    <t>Gestión Empresarial</t>
  </si>
  <si>
    <t>Masspublicidad</t>
  </si>
  <si>
    <t>Varios</t>
  </si>
  <si>
    <t>Massmedia</t>
  </si>
  <si>
    <t>Rodney Banks</t>
  </si>
  <si>
    <t>AYCA</t>
  </si>
  <si>
    <t>CYCE</t>
  </si>
  <si>
    <t>Celeste Huergo</t>
  </si>
  <si>
    <t>Hsiu Chen Wang</t>
  </si>
  <si>
    <t>Accion Bvpasa</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</si>
  <si>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</si>
  <si>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</si>
  <si>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</si>
  <si>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</si>
  <si>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</si>
  <si>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</si>
  <si>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</si>
  <si>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           Quantum Fund</t>
  </si>
  <si>
    <t>-           Sergio Britos</t>
  </si>
  <si>
    <t>-           Elizabeth Yegros</t>
  </si>
  <si>
    <t>-           Alberto Acosta</t>
  </si>
  <si>
    <t>AE009</t>
  </si>
  <si>
    <t>Acreedores Varios Vinculados (Nota 5. o)</t>
  </si>
  <si>
    <t>Ingresos Varios</t>
  </si>
  <si>
    <t>Dividendos Cobrados</t>
  </si>
  <si>
    <t>Comisiones Cobradas</t>
  </si>
  <si>
    <t>Préstamo Bancop SA</t>
  </si>
  <si>
    <t xml:space="preserve">Préstamos </t>
  </si>
  <si>
    <t>-           Jorge Storm</t>
  </si>
  <si>
    <t>Bancop</t>
  </si>
  <si>
    <t>Descuentos Concedidos</t>
  </si>
  <si>
    <t>Dividendos Pagados</t>
  </si>
  <si>
    <t>Activos Intangibles</t>
  </si>
  <si>
    <t>021-446-883</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</si>
  <si>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</si>
  <si>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</si>
  <si>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</si>
  <si>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</si>
  <si>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</si>
  <si>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</si>
  <si>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</si>
  <si>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</si>
  <si>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</si>
  <si>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</si>
  <si>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</si>
  <si>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</si>
  <si>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</si>
  <si>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</si>
  <si>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</si>
  <si>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</si>
  <si>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</si>
  <si>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</si>
  <si>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</si>
  <si>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Christian Jose Ricciardi Blasco</t>
  </si>
  <si>
    <t>Hector Mathias Godoy Rojas</t>
  </si>
  <si>
    <t>Municipalidad de Villarrica</t>
  </si>
  <si>
    <t>ROYAL SEGUROS SA</t>
  </si>
  <si>
    <t>Gustavo Gonzalez</t>
  </si>
  <si>
    <t>Clientes</t>
  </si>
  <si>
    <t>122/07</t>
  </si>
  <si>
    <t xml:space="preserve">La acción que Capital Markets Casa de Bolsa S.A., posee en la Bolsa de Valores y Productos de Asunción Sociedad Anónima (BVPASA) al 31 de diciembre de 2021 se encuentra valuada al último valor negociado en el Mercado. </t>
  </si>
  <si>
    <t>r.1)  Saldos con personas u empresas relacionadas</t>
  </si>
  <si>
    <t>PARTE RELACIONADA</t>
  </si>
  <si>
    <t>RELACION</t>
  </si>
  <si>
    <t>Acreedores Varios Vinculados</t>
  </si>
  <si>
    <t>r.2)  Transacciones con personas u empresas relacionadas</t>
  </si>
  <si>
    <t>Ingresos</t>
  </si>
  <si>
    <t>Comisiones por operaciones</t>
  </si>
  <si>
    <t>Vice- Presidente</t>
  </si>
  <si>
    <t>Egresos</t>
  </si>
  <si>
    <t>Remuneracion Personal Superior</t>
  </si>
  <si>
    <t>Comisiones s/ Ventas</t>
  </si>
  <si>
    <t xml:space="preserve">CH </t>
  </si>
  <si>
    <t>CFH</t>
  </si>
  <si>
    <t>JS</t>
  </si>
  <si>
    <t>HCW</t>
  </si>
  <si>
    <t xml:space="preserve">CORRESPONDIENTE AL 31-03-2022 PRESENTADO EN FORMA COMPARATIVA CON EL PERIODO AL 31-03-2021 </t>
  </si>
  <si>
    <t>Agroganadera 43 S.A.</t>
  </si>
  <si>
    <t>BANCO GNB PARAGUAY S.A.</t>
  </si>
  <si>
    <t>Cidesa</t>
  </si>
  <si>
    <t>Fernando Bogarin</t>
  </si>
  <si>
    <t>Katuete SRL</t>
  </si>
  <si>
    <t>Pablo Zabala</t>
  </si>
  <si>
    <t>SUDAMERIS BANK SAECA</t>
  </si>
  <si>
    <t>SUNDIN STEINAR BENGT</t>
  </si>
  <si>
    <t>TAPE PORA S.A.</t>
  </si>
  <si>
    <t>Vision Banco SAECA</t>
  </si>
  <si>
    <t>Sueldos y jornales</t>
  </si>
  <si>
    <t>ANDE</t>
  </si>
  <si>
    <t xml:space="preserve">Aseguradora Paraguaya SAECA </t>
  </si>
  <si>
    <t>Fernando Villamayor</t>
  </si>
  <si>
    <t>Nucleo</t>
  </si>
  <si>
    <t>Bancop Cuenta Clearing USD</t>
  </si>
  <si>
    <t>Bancop Cta. Clearing Gs.</t>
  </si>
  <si>
    <t>No se registran cambios en cuenta a criterios contables con respecto al ejercicio anterior cerrado</t>
  </si>
  <si>
    <t>Bvpasa / Adelanto de Arancel</t>
  </si>
  <si>
    <t>Anticipo de Clientes</t>
  </si>
  <si>
    <t>Tarjeta Empresarial</t>
  </si>
  <si>
    <t>Servicio SEN / BVA</t>
  </si>
  <si>
    <t>Utilidad/Pérdida En Venta De Inversiones</t>
  </si>
  <si>
    <t>Iva Costo</t>
  </si>
  <si>
    <t>Otros Ingresos Financieros</t>
  </si>
  <si>
    <t>BALANCE GENERAL al 30/06/2022 presentado en forma comparativa con el ejercicio anterior cerrado el 31/12/2021.  (En guaraníes)</t>
  </si>
  <si>
    <t>3.1.             Los Estados Financieros al 30/06/2022, han sido preparados de acuerdo de acuerdo con Normas de Información Financiera emitidas por el Consejo de Contadores Públicos del Paraguay y
criterios de valuación y exposición dictados por la Comisión Nacional de Valores.</t>
  </si>
  <si>
    <t>ESTADO DE RESULTADOS CORRESPONDIENTE AL 30/06/2022 PRESENTADO EN FORMA COMPARATIVA CON EL 30/06/2021. (En guaraníes)</t>
  </si>
  <si>
    <t>CORRESPONDIENTE AL 30/06/2022 PRESENTADO EN FORMA COMPARATIVA CON EL PERIODO AL 30/06/2021</t>
  </si>
  <si>
    <t>Información al 30 /06 /2022</t>
  </si>
  <si>
    <t>Ueno Caja de Ahorro USD.</t>
  </si>
  <si>
    <t xml:space="preserve">Los presentes Estados Financieros (Balance General, Estado de Resultados, Estado de Flujo de Efectivo y Estado de Variación del Patrimonio Neto) correspondientes al 30 de junio de 2022 se considerado y aprobado por la reunion de directorio N° </t>
  </si>
  <si>
    <t>Ueno Caja de  Ahorro Guaraníes</t>
  </si>
  <si>
    <t>Ueno Caja de  Ahorro U$</t>
  </si>
  <si>
    <t>Irma Cuevas</t>
  </si>
  <si>
    <t>Dividendos a Cobrar</t>
  </si>
  <si>
    <t>Avalon CBSA</t>
  </si>
  <si>
    <t>Claudia Marcela Roa</t>
  </si>
  <si>
    <t>Retenciones IDU a pagar</t>
  </si>
  <si>
    <t>-          Ceidorl S.R.L</t>
  </si>
  <si>
    <t>-           Carlos Storm</t>
  </si>
  <si>
    <t>-         Celeste Huergo</t>
  </si>
  <si>
    <t>-          Cheng Fang Hsiao</t>
  </si>
  <si>
    <t>-           Daniel Andrés Moreno</t>
  </si>
  <si>
    <t>-          Cabral Gabriela</t>
  </si>
  <si>
    <t>Intereses Cobrados REPO</t>
  </si>
  <si>
    <t>Recupero Bva</t>
  </si>
  <si>
    <t>Gabriela Elizabeth Cabral Barreto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</si>
</sst>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 #,##0_ ;_ * \-#,##0_ ;_ * &quot;-&quot;_ ;_ @_ "/>
    <numFmt numFmtId="165" formatCode="_-* #,##0.00_-;\-* #,##0.00_-;_-* &quot;-&quot;??_-;_-@_-"/>
    <numFmt numFmtId="166" formatCode="_-* #,##0_-;\-* #,##0_-;_-* &quot;-&quot;??_-;_-@_-"/>
    <numFmt numFmtId="167" formatCode="_(* #,##0.00_);_(* \(#,##0.00\);_(* \-??_);_(@_)"/>
    <numFmt numFmtId="168" formatCode="&quot;₲&quot;\ #,##0"/>
    <numFmt numFmtId="169" formatCode="dd/mm/yyyy;@"/>
  </numFmts>
  <fonts count="105">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10"/>
      <color theme="1"/>
      <name val="Times New Roman"/>
      <family val="1"/>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sz val="12"/>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rgb="FFFF0000"/>
      <name val="Calibri"/>
      <family val="2"/>
      <scheme val="minor"/>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rgb="FF000000"/>
      <name val="Calibri"/>
      <family val="2"/>
      <scheme val="minor"/>
    </font>
    <font>
      <sz val="9"/>
      <color theme="1"/>
      <name val="EYInterstate Light"/>
    </font>
    <font>
      <b/>
      <sz val="9"/>
      <color theme="1"/>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1"/>
      <color theme="1"/>
      <name val="Museo Sans 100"/>
      <family val="3"/>
    </font>
    <font>
      <b/>
      <sz val="9"/>
      <color theme="1"/>
      <name val="Arial Nova"/>
      <family val="2"/>
    </font>
    <font>
      <sz val="9"/>
      <color theme="1"/>
      <name val="Arial Nova"/>
      <family val="2"/>
    </font>
    <font>
      <sz val="11"/>
      <color theme="1"/>
      <name val="Arial Nova"/>
      <family val="2"/>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sz val="8"/>
      <color theme="1"/>
      <name val="Arial Nova"/>
      <family val="2"/>
    </font>
    <font>
      <b/>
      <i/>
      <sz val="10"/>
      <color theme="1"/>
      <name val="Arial Nova"/>
      <family val="2"/>
    </font>
    <font>
      <i/>
      <sz val="10"/>
      <color indexed="8"/>
      <name val="Arial Nova"/>
      <family val="2"/>
    </font>
    <font>
      <sz val="7"/>
      <color theme="1"/>
      <name val="Arial Nova"/>
      <family val="2"/>
    </font>
    <font>
      <b/>
      <sz val="8"/>
      <color theme="1"/>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b/>
      <sz val="9"/>
      <color theme="4"/>
      <name val="Arial Nova"/>
      <family val="2"/>
    </font>
    <font>
      <b/>
      <sz val="8"/>
      <color theme="4"/>
      <name val="Arial Nova"/>
      <family val="2"/>
    </font>
    <font>
      <sz val="7"/>
      <name val="Arial Nova"/>
      <family val="2"/>
    </font>
    <font>
      <sz val="8"/>
      <name val="Calibri"/>
      <family val="2"/>
    </font>
    <font>
      <sz val="9"/>
      <color theme="4"/>
      <name val="Calibri"/>
      <family val="2"/>
    </font>
    <font>
      <b/>
      <sz val="11"/>
      <color theme="4"/>
      <name val="Arial Nova"/>
      <family val="2"/>
    </font>
    <font>
      <b/>
      <sz val="11"/>
      <name val="Arial Nova"/>
      <family val="2"/>
    </font>
    <font>
      <sz val="9"/>
      <name val="Arial Nova"/>
      <family val="2"/>
    </font>
    <font>
      <b/>
      <sz val="9"/>
      <color rgb="FFFF0000"/>
      <name val="Arial"/>
      <family val="2"/>
    </font>
    <font>
      <sz val="10"/>
      <color rgb="FFFF0000"/>
      <name val="Times New Roman"/>
      <family val="1"/>
    </font>
    <font>
      <sz val="11"/>
      <color rgb="FF000000"/>
      <name val="Calibri"/>
      <family val="2"/>
      <scheme val="minor"/>
    </font>
  </fonts>
  <fills count="10">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diagonal/>
    </border>
  </borders>
  <cellStyleXfs count="9">
    <xf numFmtId="0" fontId="0" fillId="0" borderId="0"/>
    <xf numFmtId="0" fontId="13" fillId="0" borderId="0"/>
    <xf numFmtId="165" fontId="14" fillId="0" borderId="0" applyFont="0" applyFill="0" applyBorder="0" applyAlignment="0" applyProtection="0"/>
    <xf numFmtId="164" fontId="14" fillId="0" borderId="0" applyFont="0" applyFill="0" applyBorder="0" applyAlignment="0" applyProtection="0"/>
    <xf numFmtId="167" fontId="8" fillId="0" borderId="0" applyFill="0" applyBorder="0" applyAlignment="0" applyProtection="0"/>
    <xf numFmtId="43" fontId="14" fillId="0" borderId="0" applyFont="0" applyFill="0" applyBorder="0" applyAlignment="0" applyProtection="0"/>
    <xf numFmtId="0" fontId="8" fillId="0" borderId="0"/>
    <xf numFmtId="9" fontId="14" fillId="0" borderId="0" applyFont="0" applyFill="0" applyBorder="0" applyAlignment="0" applyProtection="0"/>
    <xf numFmtId="164" fontId="14" fillId="0" borderId="0" applyFont="0" applyFill="0" applyBorder="0" applyAlignment="0" applyProtection="0"/>
  </cellStyleXfs>
  <cellXfs count="511">
    <xf numFmtId="0" fontId="0" fillId="0" borderId="0" xfId="0"/>
    <xf numFmtId="0" fontId="15" fillId="0" borderId="0" xfId="0" applyFont="1"/>
    <xf numFmtId="0" fontId="16" fillId="0" borderId="0" xfId="0" applyFont="1" applyAlignment="1">
      <alignment horizontal="left" vertical="center" indent="5"/>
    </xf>
    <xf numFmtId="0" fontId="17" fillId="0" borderId="0" xfId="0" applyFont="1" applyAlignment="1">
      <alignment vertical="center" wrapText="1"/>
    </xf>
    <xf numFmtId="0" fontId="19" fillId="0" borderId="0" xfId="0" applyFont="1"/>
    <xf numFmtId="0" fontId="19" fillId="0" borderId="0" xfId="0" applyFont="1" applyAlignment="1">
      <alignment horizontal="center"/>
    </xf>
    <xf numFmtId="0" fontId="23" fillId="0" borderId="0" xfId="0" applyFont="1"/>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Border="1" applyAlignment="1">
      <alignment horizontal="left" vertical="center" wrapText="1"/>
    </xf>
    <xf numFmtId="4" fontId="18" fillId="0" borderId="0"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0" fontId="0" fillId="0" borderId="0" xfId="0" applyAlignment="1"/>
    <xf numFmtId="0" fontId="24" fillId="0" borderId="0" xfId="0" applyFont="1" applyBorder="1" applyAlignment="1">
      <alignment horizontal="right" vertical="center"/>
    </xf>
    <xf numFmtId="3" fontId="0" fillId="0" borderId="0" xfId="0" applyNumberFormat="1"/>
    <xf numFmtId="0" fontId="0" fillId="0" borderId="0" xfId="0" applyBorder="1"/>
    <xf numFmtId="0" fontId="29" fillId="0" borderId="0" xfId="0" applyFont="1" applyBorder="1" applyAlignment="1">
      <alignment horizontal="right" vertical="center"/>
    </xf>
    <xf numFmtId="3" fontId="30" fillId="0" borderId="0" xfId="0" applyNumberFormat="1" applyFont="1" applyBorder="1" applyAlignment="1">
      <alignment horizontal="right" vertical="center"/>
    </xf>
    <xf numFmtId="0" fontId="26" fillId="0" borderId="0" xfId="0" applyFont="1" applyBorder="1" applyAlignment="1">
      <alignment horizontal="right" vertical="center"/>
    </xf>
    <xf numFmtId="0" fontId="31" fillId="0" borderId="0" xfId="0" applyFont="1" applyBorder="1" applyAlignment="1">
      <alignment horizontal="right" vertical="center"/>
    </xf>
    <xf numFmtId="0" fontId="28" fillId="0" borderId="0" xfId="0" applyFont="1" applyBorder="1" applyAlignment="1">
      <alignment horizontal="right" vertical="center"/>
    </xf>
    <xf numFmtId="0" fontId="0" fillId="0" borderId="0" xfId="0" applyFill="1"/>
    <xf numFmtId="0" fontId="0" fillId="0" borderId="0" xfId="0" applyFill="1" applyBorder="1"/>
    <xf numFmtId="166" fontId="0" fillId="0" borderId="0" xfId="0" applyNumberFormat="1"/>
    <xf numFmtId="0" fontId="34" fillId="0" borderId="0" xfId="0" applyFont="1"/>
    <xf numFmtId="0" fontId="35" fillId="0" borderId="0" xfId="0" applyFont="1"/>
    <xf numFmtId="166" fontId="35" fillId="0" borderId="0" xfId="2" applyNumberFormat="1" applyFont="1"/>
    <xf numFmtId="165" fontId="31" fillId="0" borderId="0" xfId="2" applyFont="1" applyBorder="1" applyAlignment="1">
      <alignment horizontal="right" vertical="center"/>
    </xf>
    <xf numFmtId="0" fontId="31" fillId="0" borderId="0" xfId="0" applyFont="1" applyBorder="1" applyAlignment="1">
      <alignment horizontal="right" vertical="center" wrapText="1"/>
    </xf>
    <xf numFmtId="0" fontId="28" fillId="0" borderId="0" xfId="0" applyFont="1" applyBorder="1" applyAlignment="1">
      <alignment horizontal="right" vertical="center" wrapText="1"/>
    </xf>
    <xf numFmtId="0" fontId="35" fillId="0" borderId="0" xfId="0" applyFont="1" applyBorder="1"/>
    <xf numFmtId="0" fontId="28" fillId="0" borderId="0" xfId="0" applyFont="1" applyBorder="1" applyAlignment="1">
      <alignment vertical="center"/>
    </xf>
    <xf numFmtId="0" fontId="36" fillId="0" borderId="0" xfId="0" applyFont="1"/>
    <xf numFmtId="3" fontId="36" fillId="0" borderId="0" xfId="0" applyNumberFormat="1" applyFont="1"/>
    <xf numFmtId="0" fontId="12" fillId="0" borderId="1" xfId="0" applyFont="1" applyBorder="1" applyAlignment="1">
      <alignment vertical="center" wrapText="1"/>
    </xf>
    <xf numFmtId="0" fontId="30" fillId="0" borderId="0" xfId="0" applyFont="1" applyAlignment="1">
      <alignment horizontal="center" vertical="center"/>
    </xf>
    <xf numFmtId="0" fontId="33" fillId="0" borderId="0" xfId="0" applyFont="1" applyFill="1" applyBorder="1" applyAlignment="1">
      <alignment horizontal="right" vertical="center"/>
    </xf>
    <xf numFmtId="0" fontId="40" fillId="0" borderId="0" xfId="0" applyFont="1" applyFill="1"/>
    <xf numFmtId="3" fontId="35" fillId="0" borderId="0" xfId="0" applyNumberFormat="1" applyFont="1"/>
    <xf numFmtId="0" fontId="41" fillId="0" borderId="0" xfId="0" applyFont="1"/>
    <xf numFmtId="166" fontId="35" fillId="0" borderId="0" xfId="0" applyNumberFormat="1" applyFont="1"/>
    <xf numFmtId="1" fontId="35" fillId="0" borderId="0" xfId="0" applyNumberFormat="1" applyFont="1"/>
    <xf numFmtId="0" fontId="30" fillId="0" borderId="0" xfId="0" applyFont="1" applyAlignment="1">
      <alignment horizontal="center" vertical="center"/>
    </xf>
    <xf numFmtId="3" fontId="0" fillId="0" borderId="1" xfId="0" applyNumberFormat="1" applyBorder="1"/>
    <xf numFmtId="0" fontId="26" fillId="0" borderId="1" xfId="0" applyFont="1" applyBorder="1" applyAlignment="1">
      <alignment vertical="center"/>
    </xf>
    <xf numFmtId="166" fontId="26" fillId="0" borderId="1" xfId="2" applyNumberFormat="1" applyFont="1" applyFill="1" applyBorder="1" applyAlignment="1">
      <alignment horizontal="right" vertical="center"/>
    </xf>
    <xf numFmtId="0" fontId="24" fillId="0" borderId="1" xfId="0" applyFont="1" applyBorder="1" applyAlignment="1">
      <alignment vertical="center"/>
    </xf>
    <xf numFmtId="166" fontId="24" fillId="0" borderId="1" xfId="2" applyNumberFormat="1" applyFont="1" applyBorder="1" applyAlignment="1">
      <alignment horizontal="right" vertical="center"/>
    </xf>
    <xf numFmtId="3" fontId="0" fillId="0" borderId="1" xfId="0" applyNumberFormat="1" applyBorder="1" applyAlignment="1">
      <alignment wrapText="1"/>
    </xf>
    <xf numFmtId="166" fontId="31" fillId="0" borderId="1" xfId="2" applyNumberFormat="1" applyFont="1" applyFill="1" applyBorder="1" applyAlignment="1">
      <alignment horizontal="right" vertical="center"/>
    </xf>
    <xf numFmtId="0" fontId="0" fillId="0" borderId="0" xfId="0"/>
    <xf numFmtId="166" fontId="24" fillId="0" borderId="1" xfId="2" applyNumberFormat="1" applyFont="1" applyFill="1" applyBorder="1" applyAlignment="1">
      <alignment horizontal="right"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24" fillId="0" borderId="0" xfId="0" applyFont="1" applyAlignment="1">
      <alignment vertical="center"/>
    </xf>
    <xf numFmtId="0" fontId="26" fillId="0" borderId="1" xfId="0" applyFont="1" applyBorder="1" applyAlignment="1">
      <alignment horizontal="justify" vertical="center" wrapText="1"/>
    </xf>
    <xf numFmtId="0" fontId="24" fillId="0" borderId="1" xfId="0" applyFont="1" applyBorder="1" applyAlignment="1">
      <alignment horizontal="justify" vertical="center" wrapText="1"/>
    </xf>
    <xf numFmtId="3" fontId="24" fillId="0" borderId="1" xfId="0" applyNumberFormat="1" applyFont="1" applyFill="1" applyBorder="1" applyAlignment="1">
      <alignment horizontal="right" vertical="center" wrapText="1"/>
    </xf>
    <xf numFmtId="3" fontId="24" fillId="0" borderId="1" xfId="0" applyNumberFormat="1" applyFont="1" applyBorder="1" applyAlignment="1">
      <alignment horizontal="right" vertical="center" wrapText="1"/>
    </xf>
    <xf numFmtId="0" fontId="26" fillId="0" borderId="1" xfId="0" applyFont="1" applyBorder="1" applyAlignment="1">
      <alignment vertical="center" wrapText="1"/>
    </xf>
    <xf numFmtId="0" fontId="31" fillId="0" borderId="1" xfId="0" applyFont="1" applyBorder="1" applyAlignment="1">
      <alignment horizontal="justify" vertical="center" wrapText="1"/>
    </xf>
    <xf numFmtId="3" fontId="31" fillId="0" borderId="1" xfId="0" applyNumberFormat="1" applyFont="1" applyFill="1" applyBorder="1" applyAlignment="1">
      <alignment horizontal="right" vertical="center" wrapText="1"/>
    </xf>
    <xf numFmtId="3"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31" fillId="0" borderId="1" xfId="0" applyFont="1" applyFill="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Fill="1" applyBorder="1" applyAlignment="1">
      <alignment horizontal="right" vertical="center" wrapText="1"/>
    </xf>
    <xf numFmtId="3" fontId="28" fillId="0" borderId="1" xfId="0" applyNumberFormat="1" applyFont="1" applyBorder="1" applyAlignment="1">
      <alignment horizontal="right" vertical="center" wrapText="1"/>
    </xf>
    <xf numFmtId="166" fontId="31" fillId="0" borderId="1" xfId="2" applyNumberFormat="1" applyFont="1" applyFill="1" applyBorder="1" applyAlignment="1">
      <alignment horizontal="right" vertical="center" wrapText="1"/>
    </xf>
    <xf numFmtId="0" fontId="31" fillId="0" borderId="1" xfId="0" applyFont="1" applyBorder="1" applyAlignment="1">
      <alignment vertical="center"/>
    </xf>
    <xf numFmtId="166" fontId="31" fillId="0" borderId="1" xfId="2" applyNumberFormat="1" applyFont="1" applyBorder="1" applyAlignment="1">
      <alignment horizontal="right" vertical="center"/>
    </xf>
    <xf numFmtId="0" fontId="28" fillId="0" borderId="1" xfId="0" applyFont="1" applyBorder="1" applyAlignment="1">
      <alignment vertical="center"/>
    </xf>
    <xf numFmtId="0" fontId="31" fillId="0" borderId="1" xfId="0" applyFont="1" applyBorder="1" applyAlignment="1">
      <alignment vertical="center" wrapText="1"/>
    </xf>
    <xf numFmtId="0" fontId="28" fillId="0" borderId="1" xfId="0" applyFont="1" applyBorder="1" applyAlignment="1">
      <alignment vertical="center" wrapText="1"/>
    </xf>
    <xf numFmtId="166" fontId="28" fillId="0" borderId="1" xfId="2" applyNumberFormat="1" applyFont="1" applyBorder="1" applyAlignment="1">
      <alignment horizontal="right" vertical="center" wrapText="1"/>
    </xf>
    <xf numFmtId="166" fontId="28" fillId="0" borderId="1" xfId="2" applyNumberFormat="1" applyFont="1" applyBorder="1" applyAlignment="1">
      <alignment horizontal="right" vertical="center"/>
    </xf>
    <xf numFmtId="0" fontId="28" fillId="0" borderId="1" xfId="0" applyFont="1" applyBorder="1" applyAlignment="1">
      <alignment horizontal="right" vertical="center" wrapText="1"/>
    </xf>
    <xf numFmtId="0" fontId="31" fillId="0" borderId="1" xfId="0" applyFont="1" applyBorder="1" applyAlignment="1">
      <alignment horizontal="right" vertical="center"/>
    </xf>
    <xf numFmtId="0" fontId="28" fillId="0" borderId="1" xfId="0" applyFont="1" applyBorder="1" applyAlignment="1">
      <alignment horizontal="right" vertical="center"/>
    </xf>
    <xf numFmtId="0" fontId="31"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0" fontId="31" fillId="0" borderId="1" xfId="0" applyFont="1" applyFill="1" applyBorder="1" applyAlignment="1">
      <alignment horizontal="justify" vertical="center" wrapText="1"/>
    </xf>
    <xf numFmtId="3" fontId="31" fillId="0" borderId="1" xfId="0" applyNumberFormat="1" applyFont="1" applyFill="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9" fillId="0" borderId="1" xfId="0" applyFont="1" applyBorder="1" applyAlignment="1">
      <alignment vertical="center"/>
    </xf>
    <xf numFmtId="166" fontId="29" fillId="0" borderId="1" xfId="2" applyNumberFormat="1" applyFont="1" applyFill="1" applyBorder="1" applyAlignment="1">
      <alignment horizontal="right" vertical="center"/>
    </xf>
    <xf numFmtId="166" fontId="29" fillId="0" borderId="1" xfId="2" applyNumberFormat="1" applyFont="1" applyBorder="1" applyAlignment="1">
      <alignment horizontal="right" vertical="center"/>
    </xf>
    <xf numFmtId="0" fontId="30" fillId="0" borderId="1" xfId="0" applyFont="1" applyBorder="1" applyAlignment="1">
      <alignment vertical="center"/>
    </xf>
    <xf numFmtId="166" fontId="30" fillId="0" borderId="1" xfId="2" applyNumberFormat="1" applyFont="1" applyBorder="1" applyAlignment="1">
      <alignment horizontal="right" vertical="center"/>
    </xf>
    <xf numFmtId="0" fontId="24" fillId="0" borderId="1" xfId="0" applyFont="1" applyBorder="1" applyAlignment="1">
      <alignment vertical="center" wrapText="1"/>
    </xf>
    <xf numFmtId="4" fontId="31"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4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 fontId="43"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24" fillId="0" borderId="0" xfId="0" applyFont="1" applyAlignment="1">
      <alignment horizontal="right" vertical="center"/>
    </xf>
    <xf numFmtId="0" fontId="32" fillId="2" borderId="1" xfId="0" applyFont="1" applyFill="1" applyBorder="1" applyAlignment="1">
      <alignment vertical="center"/>
    </xf>
    <xf numFmtId="0" fontId="46" fillId="2" borderId="1" xfId="0" applyFont="1" applyFill="1" applyBorder="1" applyAlignment="1">
      <alignment vertical="center"/>
    </xf>
    <xf numFmtId="0" fontId="47" fillId="0" borderId="1" xfId="0" applyFont="1" applyBorder="1" applyAlignment="1">
      <alignment vertical="center"/>
    </xf>
    <xf numFmtId="3" fontId="47" fillId="0" borderId="1" xfId="0" applyNumberFormat="1" applyFont="1" applyBorder="1" applyAlignment="1">
      <alignment horizontal="right" vertical="center"/>
    </xf>
    <xf numFmtId="0" fontId="32" fillId="0" borderId="1" xfId="0" applyFont="1" applyBorder="1" applyAlignment="1">
      <alignment vertical="center"/>
    </xf>
    <xf numFmtId="0" fontId="48" fillId="0" borderId="1" xfId="0" applyFont="1" applyBorder="1" applyAlignment="1">
      <alignment horizontal="right" vertical="center"/>
    </xf>
    <xf numFmtId="0" fontId="47" fillId="0" borderId="1" xfId="0" applyFont="1" applyBorder="1" applyAlignment="1">
      <alignment horizontal="right" vertical="center"/>
    </xf>
    <xf numFmtId="3" fontId="32" fillId="0" borderId="1" xfId="0" applyNumberFormat="1" applyFont="1" applyBorder="1" applyAlignment="1">
      <alignment horizontal="right" vertical="center"/>
    </xf>
    <xf numFmtId="0" fontId="46" fillId="0" borderId="1" xfId="0" applyFont="1" applyBorder="1" applyAlignment="1">
      <alignment horizontal="right" vertical="center"/>
    </xf>
    <xf numFmtId="164" fontId="47" fillId="0" borderId="1" xfId="3"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8"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right" vertical="center" wrapText="1"/>
    </xf>
    <xf numFmtId="3" fontId="28" fillId="0" borderId="1" xfId="0" applyNumberFormat="1" applyFont="1" applyBorder="1" applyAlignment="1">
      <alignment vertical="center" wrapText="1"/>
    </xf>
    <xf numFmtId="3" fontId="31" fillId="0" borderId="1" xfId="2" applyNumberFormat="1" applyFont="1" applyBorder="1" applyAlignment="1">
      <alignment vertical="center" wrapText="1"/>
    </xf>
    <xf numFmtId="3" fontId="31" fillId="0" borderId="1" xfId="0" applyNumberFormat="1" applyFont="1" applyBorder="1" applyAlignment="1">
      <alignment vertical="center" wrapText="1"/>
    </xf>
    <xf numFmtId="3" fontId="31" fillId="0" borderId="1" xfId="3" applyNumberFormat="1" applyFont="1" applyBorder="1" applyAlignment="1">
      <alignment vertical="center" wrapText="1"/>
    </xf>
    <xf numFmtId="0" fontId="49" fillId="2" borderId="1" xfId="0" applyFont="1" applyFill="1" applyBorder="1" applyAlignment="1">
      <alignment vertical="center"/>
    </xf>
    <xf numFmtId="3" fontId="49" fillId="2" borderId="1" xfId="0" applyNumberFormat="1" applyFont="1" applyFill="1" applyBorder="1" applyAlignment="1">
      <alignment horizontal="right" vertical="center"/>
    </xf>
    <xf numFmtId="0" fontId="50" fillId="0" borderId="1" xfId="0" applyFont="1" applyBorder="1" applyAlignment="1">
      <alignment vertical="center"/>
    </xf>
    <xf numFmtId="0" fontId="52" fillId="0" borderId="1" xfId="0" applyFont="1" applyBorder="1" applyAlignment="1">
      <alignment vertical="center"/>
    </xf>
    <xf numFmtId="3" fontId="52" fillId="0" borderId="1" xfId="0" applyNumberFormat="1" applyFont="1" applyBorder="1" applyAlignment="1">
      <alignment horizontal="right" vertical="center"/>
    </xf>
    <xf numFmtId="0" fontId="51" fillId="0" borderId="1" xfId="0" applyFont="1" applyBorder="1" applyAlignment="1">
      <alignment vertical="center"/>
    </xf>
    <xf numFmtId="3" fontId="51" fillId="0" borderId="1" xfId="0" applyNumberFormat="1" applyFont="1" applyBorder="1" applyAlignment="1">
      <alignment horizontal="right" vertical="center"/>
    </xf>
    <xf numFmtId="3" fontId="51" fillId="0" borderId="1" xfId="0" applyNumberFormat="1" applyFont="1" applyFill="1" applyBorder="1" applyAlignment="1">
      <alignment horizontal="right" vertical="center"/>
    </xf>
    <xf numFmtId="3" fontId="49" fillId="0" borderId="1" xfId="0" applyNumberFormat="1" applyFont="1" applyBorder="1" applyAlignment="1">
      <alignment horizontal="right" vertical="center"/>
    </xf>
    <xf numFmtId="0" fontId="49" fillId="0" borderId="1" xfId="0" applyFont="1" applyBorder="1" applyAlignment="1">
      <alignment vertical="center"/>
    </xf>
    <xf numFmtId="0" fontId="0" fillId="0" borderId="0" xfId="0" applyAlignment="1">
      <alignment horizontal="left"/>
    </xf>
    <xf numFmtId="0" fontId="31" fillId="0" borderId="1" xfId="0" applyFont="1" applyFill="1" applyBorder="1" applyAlignment="1">
      <alignment vertical="center" wrapText="1"/>
    </xf>
    <xf numFmtId="0" fontId="31" fillId="0" borderId="1" xfId="0" applyFont="1" applyFill="1" applyBorder="1" applyAlignment="1">
      <alignment horizontal="center" vertical="center" wrapText="1"/>
    </xf>
    <xf numFmtId="3" fontId="9" fillId="0" borderId="1" xfId="0" applyNumberFormat="1" applyFont="1" applyFill="1" applyBorder="1" applyAlignment="1">
      <alignment horizontal="right" vertical="center" wrapText="1"/>
    </xf>
    <xf numFmtId="3" fontId="32" fillId="0" borderId="1" xfId="0" applyNumberFormat="1" applyFont="1" applyBorder="1" applyAlignment="1">
      <alignment horizontal="right" vertical="center"/>
    </xf>
    <xf numFmtId="0" fontId="18" fillId="0" borderId="1" xfId="0" applyFont="1" applyBorder="1" applyAlignment="1">
      <alignment vertical="center"/>
    </xf>
    <xf numFmtId="4" fontId="18"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8" xfId="0" applyNumberFormat="1" applyFont="1" applyBorder="1" applyAlignment="1">
      <alignment horizontal="right" vertical="center" wrapText="1"/>
    </xf>
    <xf numFmtId="3" fontId="7" fillId="0" borderId="18" xfId="0" applyNumberFormat="1" applyFont="1" applyBorder="1" applyAlignment="1">
      <alignment horizontal="right" vertical="center" wrapText="1"/>
    </xf>
    <xf numFmtId="0" fontId="7" fillId="0" borderId="18" xfId="0" applyFont="1" applyBorder="1" applyAlignment="1">
      <alignment horizontal="right" vertical="center" wrapText="1"/>
    </xf>
    <xf numFmtId="166" fontId="7" fillId="0" borderId="18" xfId="2" applyNumberFormat="1" applyFont="1" applyBorder="1" applyAlignment="1">
      <alignment horizontal="right" vertical="center" wrapText="1"/>
    </xf>
    <xf numFmtId="0" fontId="3" fillId="0" borderId="18" xfId="0" applyFont="1" applyBorder="1" applyAlignment="1">
      <alignment horizontal="right" vertical="center" wrapText="1"/>
    </xf>
    <xf numFmtId="0" fontId="37" fillId="0" borderId="18" xfId="0" applyFont="1" applyBorder="1" applyAlignment="1">
      <alignment vertical="top" wrapText="1"/>
    </xf>
    <xf numFmtId="4" fontId="45" fillId="0" borderId="1" xfId="0" applyNumberFormat="1" applyFont="1" applyFill="1" applyBorder="1" applyAlignment="1">
      <alignment vertical="top" wrapText="1"/>
    </xf>
    <xf numFmtId="3" fontId="45" fillId="0" borderId="1" xfId="0" applyNumberFormat="1" applyFont="1" applyFill="1" applyBorder="1" applyAlignment="1">
      <alignment vertical="top" wrapText="1"/>
    </xf>
    <xf numFmtId="4" fontId="44" fillId="0" borderId="1" xfId="0" applyNumberFormat="1" applyFont="1" applyFill="1" applyBorder="1" applyAlignment="1">
      <alignment horizontal="center" vertical="center" wrapText="1"/>
    </xf>
    <xf numFmtId="166" fontId="28" fillId="0" borderId="0" xfId="0" applyNumberFormat="1" applyFont="1" applyBorder="1" applyAlignment="1">
      <alignment horizontal="right" vertical="center"/>
    </xf>
    <xf numFmtId="0" fontId="24" fillId="0" borderId="0" xfId="0" applyFont="1" applyFill="1" applyAlignment="1">
      <alignment horizontal="left" vertical="center"/>
    </xf>
    <xf numFmtId="0" fontId="53" fillId="0" borderId="0" xfId="0" applyFont="1"/>
    <xf numFmtId="0" fontId="54" fillId="0" borderId="0" xfId="0" applyFont="1"/>
    <xf numFmtId="0" fontId="55" fillId="0" borderId="0" xfId="0" applyFont="1" applyAlignment="1">
      <alignment wrapText="1"/>
    </xf>
    <xf numFmtId="3" fontId="11" fillId="0" borderId="1" xfId="0" applyNumberFormat="1" applyFont="1" applyBorder="1" applyAlignment="1">
      <alignment vertical="center" wrapText="1"/>
    </xf>
    <xf numFmtId="4" fontId="45" fillId="0" borderId="1" xfId="0" applyNumberFormat="1" applyFont="1" applyFill="1" applyBorder="1" applyAlignment="1">
      <alignment horizontal="center" vertical="top" wrapText="1"/>
    </xf>
    <xf numFmtId="3" fontId="52" fillId="0" borderId="1" xfId="0" applyNumberFormat="1" applyFont="1" applyFill="1" applyBorder="1" applyAlignment="1">
      <alignment horizontal="right" vertical="center"/>
    </xf>
    <xf numFmtId="0" fontId="61" fillId="0" borderId="0" xfId="0" applyFont="1" applyFill="1" applyAlignment="1">
      <alignment horizontal="justify" vertical="center"/>
    </xf>
    <xf numFmtId="0" fontId="36" fillId="0" borderId="0" xfId="0" applyFont="1" applyFill="1"/>
    <xf numFmtId="0" fontId="59" fillId="0" borderId="1" xfId="0" applyFont="1" applyFill="1" applyBorder="1" applyAlignment="1">
      <alignment horizontal="center" vertical="center"/>
    </xf>
    <xf numFmtId="166" fontId="9" fillId="0" borderId="1" xfId="2" applyNumberFormat="1" applyFont="1" applyFill="1" applyBorder="1" applyAlignment="1">
      <alignment horizontal="right" vertical="center" wrapText="1"/>
    </xf>
    <xf numFmtId="0" fontId="59" fillId="0" borderId="1" xfId="0" applyFont="1" applyFill="1" applyBorder="1" applyAlignment="1">
      <alignment vertical="center"/>
    </xf>
    <xf numFmtId="166" fontId="59" fillId="0" borderId="1" xfId="2" applyNumberFormat="1" applyFont="1" applyFill="1" applyBorder="1" applyAlignment="1">
      <alignment horizontal="right" vertical="center" wrapText="1"/>
    </xf>
    <xf numFmtId="166" fontId="59" fillId="0" borderId="1" xfId="2" applyNumberFormat="1" applyFont="1" applyFill="1" applyBorder="1" applyAlignment="1">
      <alignment horizontal="right" vertical="center"/>
    </xf>
    <xf numFmtId="0" fontId="61" fillId="0" borderId="0" xfId="0" applyFont="1" applyFill="1" applyAlignment="1">
      <alignment vertical="center"/>
    </xf>
    <xf numFmtId="0" fontId="10" fillId="0" borderId="1" xfId="0" applyFont="1" applyFill="1" applyBorder="1" applyAlignment="1">
      <alignment horizontal="justify" vertical="center" wrapText="1"/>
    </xf>
    <xf numFmtId="3" fontId="10" fillId="0" borderId="1" xfId="0" applyNumberFormat="1" applyFont="1" applyFill="1" applyBorder="1" applyAlignment="1">
      <alignment horizontal="right" vertical="center" wrapText="1"/>
    </xf>
    <xf numFmtId="0" fontId="61" fillId="0" borderId="1" xfId="0" applyFont="1" applyFill="1" applyBorder="1" applyAlignment="1">
      <alignment horizontal="justify" vertical="center" wrapText="1"/>
    </xf>
    <xf numFmtId="3" fontId="61" fillId="0" borderId="1" xfId="0" applyNumberFormat="1"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right" vertical="center" wrapText="1"/>
    </xf>
    <xf numFmtId="0" fontId="61" fillId="0" borderId="1" xfId="0" applyFont="1" applyFill="1" applyBorder="1" applyAlignment="1">
      <alignment horizontal="right" vertical="center" wrapText="1"/>
    </xf>
    <xf numFmtId="0" fontId="24" fillId="0" borderId="0" xfId="0" applyFont="1" applyAlignment="1">
      <alignment horizontal="center" vertical="center"/>
    </xf>
    <xf numFmtId="0" fontId="65" fillId="5" borderId="0" xfId="0" applyFont="1" applyFill="1" applyAlignment="1">
      <alignment vertical="center"/>
    </xf>
    <xf numFmtId="0" fontId="65" fillId="0" borderId="0" xfId="0" applyFont="1" applyFill="1" applyAlignment="1">
      <alignment vertical="center"/>
    </xf>
    <xf numFmtId="0" fontId="66" fillId="0" borderId="0" xfId="0" applyFont="1" applyFill="1" applyAlignment="1">
      <alignment vertical="center"/>
    </xf>
    <xf numFmtId="0" fontId="65" fillId="0" borderId="0" xfId="0" applyFont="1" applyFill="1" applyAlignment="1">
      <alignment horizontal="left" vertical="center"/>
    </xf>
    <xf numFmtId="0" fontId="66" fillId="0" borderId="0" xfId="0" applyFont="1" applyAlignment="1">
      <alignment horizontal="left"/>
    </xf>
    <xf numFmtId="0" fontId="66" fillId="0" borderId="0" xfId="0" applyFont="1"/>
    <xf numFmtId="0" fontId="66" fillId="0" borderId="0" xfId="0" applyFont="1" applyAlignment="1">
      <alignment horizontal="left" wrapText="1"/>
    </xf>
    <xf numFmtId="0" fontId="22" fillId="0" borderId="0" xfId="0" applyFont="1"/>
    <xf numFmtId="0" fontId="65" fillId="0" borderId="0" xfId="0" applyFont="1" applyAlignment="1">
      <alignment horizontal="left"/>
    </xf>
    <xf numFmtId="0" fontId="64" fillId="0" borderId="0" xfId="0" applyFont="1" applyAlignment="1">
      <alignment horizontal="left" wrapText="1"/>
    </xf>
    <xf numFmtId="0" fontId="68" fillId="0" borderId="0" xfId="0" applyFont="1" applyAlignment="1">
      <alignment horizontal="justify" vertical="center"/>
    </xf>
    <xf numFmtId="0" fontId="70" fillId="0" borderId="0" xfId="0" applyFont="1"/>
    <xf numFmtId="0" fontId="68" fillId="0" borderId="0" xfId="0" applyFont="1" applyFill="1" applyAlignment="1">
      <alignment horizontal="justify" vertical="center"/>
    </xf>
    <xf numFmtId="0" fontId="70" fillId="0" borderId="0" xfId="0" applyFont="1" applyFill="1" applyAlignment="1">
      <alignment horizontal="justify" vertical="center"/>
    </xf>
    <xf numFmtId="0" fontId="70" fillId="0" borderId="0" xfId="0" applyFont="1" applyAlignment="1">
      <alignment horizontal="justify" vertical="center"/>
    </xf>
    <xf numFmtId="0" fontId="70" fillId="0" borderId="0" xfId="0" applyFont="1" applyAlignment="1">
      <alignment horizontal="left" vertical="center"/>
    </xf>
    <xf numFmtId="0" fontId="68" fillId="0" borderId="0" xfId="0" applyFont="1" applyAlignment="1">
      <alignment horizontal="left" vertical="center"/>
    </xf>
    <xf numFmtId="0" fontId="68" fillId="0" borderId="0" xfId="0" applyFont="1"/>
    <xf numFmtId="0" fontId="73" fillId="0" borderId="0" xfId="0" applyFont="1"/>
    <xf numFmtId="0" fontId="68" fillId="0" borderId="0" xfId="0" applyFont="1" applyAlignment="1">
      <alignment vertical="center"/>
    </xf>
    <xf numFmtId="0" fontId="70" fillId="0" borderId="1" xfId="0" applyFont="1" applyFill="1" applyBorder="1"/>
    <xf numFmtId="0" fontId="74" fillId="0" borderId="0" xfId="0" applyFont="1" applyFill="1" applyAlignment="1">
      <alignment vertical="center"/>
    </xf>
    <xf numFmtId="0" fontId="68" fillId="0" borderId="0" xfId="0" applyFont="1" applyFill="1" applyAlignment="1">
      <alignment vertical="center"/>
    </xf>
    <xf numFmtId="3" fontId="70" fillId="0" borderId="0" xfId="0" applyNumberFormat="1" applyFont="1"/>
    <xf numFmtId="0" fontId="70" fillId="0" borderId="0" xfId="0" applyFont="1" applyFill="1"/>
    <xf numFmtId="0" fontId="68" fillId="0" borderId="0" xfId="0" applyFont="1" applyFill="1" applyAlignment="1">
      <alignment horizontal="left" vertical="center"/>
    </xf>
    <xf numFmtId="0" fontId="70" fillId="0" borderId="0" xfId="0" applyFont="1" applyFill="1" applyBorder="1"/>
    <xf numFmtId="0" fontId="68" fillId="0" borderId="0" xfId="0" applyFont="1" applyFill="1" applyBorder="1" applyAlignment="1">
      <alignment horizontal="left" wrapText="1"/>
    </xf>
    <xf numFmtId="166" fontId="70" fillId="0" borderId="3" xfId="2" applyNumberFormat="1" applyFont="1" applyFill="1" applyBorder="1" applyAlignment="1">
      <alignment horizontal="right" vertical="center"/>
    </xf>
    <xf numFmtId="166" fontId="76" fillId="0" borderId="0" xfId="2" applyNumberFormat="1" applyFont="1" applyFill="1" applyBorder="1" applyAlignment="1">
      <alignment horizontal="right" vertical="center"/>
    </xf>
    <xf numFmtId="49" fontId="70" fillId="0" borderId="10" xfId="0" applyNumberFormat="1" applyFont="1" applyFill="1" applyBorder="1" applyAlignment="1">
      <alignment horizontal="left" vertical="center" indent="5"/>
    </xf>
    <xf numFmtId="0" fontId="74" fillId="0" borderId="0" xfId="0" applyFont="1" applyFill="1" applyAlignment="1">
      <alignment horizontal="justify" vertical="center"/>
    </xf>
    <xf numFmtId="0" fontId="56" fillId="0" borderId="0" xfId="0" applyFont="1" applyAlignment="1">
      <alignment vertical="center"/>
    </xf>
    <xf numFmtId="0" fontId="68" fillId="5" borderId="0" xfId="0" applyFont="1" applyFill="1" applyAlignment="1">
      <alignment horizontal="left" vertical="center" indent="4"/>
    </xf>
    <xf numFmtId="0" fontId="68" fillId="5" borderId="0" xfId="0" applyFont="1" applyFill="1"/>
    <xf numFmtId="3" fontId="68" fillId="5" borderId="0" xfId="0" applyNumberFormat="1" applyFont="1" applyFill="1"/>
    <xf numFmtId="0" fontId="0" fillId="0" borderId="1" xfId="0" applyBorder="1"/>
    <xf numFmtId="168" fontId="66" fillId="0" borderId="1" xfId="0" applyNumberFormat="1" applyFont="1" applyBorder="1" applyAlignment="1">
      <alignment horizontal="right" vertical="center"/>
    </xf>
    <xf numFmtId="168" fontId="66" fillId="0" borderId="1" xfId="0" applyNumberFormat="1" applyFont="1" applyFill="1" applyBorder="1" applyAlignment="1">
      <alignment horizontal="right" vertical="center"/>
    </xf>
    <xf numFmtId="0" fontId="65" fillId="0" borderId="0" xfId="0" applyFont="1" applyAlignment="1">
      <alignment vertical="center"/>
    </xf>
    <xf numFmtId="0" fontId="78" fillId="0" borderId="1" xfId="0" applyFont="1" applyBorder="1" applyAlignment="1">
      <alignment horizontal="center"/>
    </xf>
    <xf numFmtId="0" fontId="78" fillId="0" borderId="1" xfId="0" applyFont="1" applyBorder="1"/>
    <xf numFmtId="164" fontId="78" fillId="0" borderId="1" xfId="3" applyFont="1" applyBorder="1"/>
    <xf numFmtId="10" fontId="78" fillId="0" borderId="1" xfId="7" applyNumberFormat="1" applyFont="1" applyBorder="1" applyAlignment="1">
      <alignment horizontal="center"/>
    </xf>
    <xf numFmtId="0" fontId="75" fillId="0" borderId="0" xfId="0" applyFont="1"/>
    <xf numFmtId="0" fontId="66" fillId="0" borderId="0" xfId="0" applyFont="1" applyAlignment="1">
      <alignment horizontal="left" wrapText="1"/>
    </xf>
    <xf numFmtId="0" fontId="65" fillId="0" borderId="0" xfId="0" applyFont="1" applyAlignment="1">
      <alignment horizontal="left"/>
    </xf>
    <xf numFmtId="0" fontId="66" fillId="0" borderId="0" xfId="0" applyFont="1" applyAlignment="1">
      <alignment horizontal="left"/>
    </xf>
    <xf numFmtId="0" fontId="26" fillId="0" borderId="1" xfId="0" applyFont="1" applyBorder="1" applyAlignment="1">
      <alignment vertical="center" wrapText="1"/>
    </xf>
    <xf numFmtId="3" fontId="26" fillId="0" borderId="1" xfId="0" applyNumberFormat="1" applyFont="1" applyFill="1" applyBorder="1" applyAlignment="1">
      <alignment horizontal="right" vertical="center" wrapText="1"/>
    </xf>
    <xf numFmtId="3" fontId="32" fillId="0" borderId="1" xfId="0" applyNumberFormat="1" applyFont="1" applyBorder="1" applyAlignment="1">
      <alignment horizontal="right" vertical="center"/>
    </xf>
    <xf numFmtId="0" fontId="68" fillId="0" borderId="0" xfId="0" applyFont="1" applyFill="1" applyBorder="1" applyAlignment="1">
      <alignment horizontal="left" wrapText="1"/>
    </xf>
    <xf numFmtId="0" fontId="0" fillId="0" borderId="0" xfId="0" applyAlignment="1">
      <alignment horizontal="center"/>
    </xf>
    <xf numFmtId="169" fontId="0" fillId="0" borderId="1" xfId="0" applyNumberFormat="1" applyBorder="1"/>
    <xf numFmtId="0" fontId="84" fillId="7" borderId="1" xfId="0" applyFont="1" applyFill="1" applyBorder="1" applyAlignment="1">
      <alignment horizontal="center" vertical="center" wrapText="1"/>
    </xf>
    <xf numFmtId="0" fontId="85"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87"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7" fillId="7" borderId="1" xfId="0" applyFont="1" applyFill="1" applyBorder="1" applyAlignment="1">
      <alignment horizontal="center" vertical="center" wrapText="1"/>
    </xf>
    <xf numFmtId="0" fontId="87" fillId="7" borderId="1" xfId="0" applyFont="1" applyFill="1" applyBorder="1" applyAlignment="1">
      <alignment vertical="center" wrapText="1"/>
    </xf>
    <xf numFmtId="0" fontId="87" fillId="7" borderId="11" xfId="0" applyFont="1" applyFill="1" applyBorder="1" applyAlignment="1">
      <alignment horizontal="center" vertical="center"/>
    </xf>
    <xf numFmtId="0" fontId="87" fillId="7" borderId="12" xfId="0" applyFont="1" applyFill="1" applyBorder="1" applyAlignment="1">
      <alignment horizontal="center" vertical="center"/>
    </xf>
    <xf numFmtId="0" fontId="87" fillId="8" borderId="1" xfId="0" applyFont="1" applyFill="1" applyBorder="1" applyAlignment="1">
      <alignment horizontal="center" vertical="center" wrapText="1"/>
    </xf>
    <xf numFmtId="0" fontId="85" fillId="7" borderId="1" xfId="0" applyFont="1" applyFill="1" applyBorder="1" applyAlignment="1">
      <alignment horizontal="center" vertical="center"/>
    </xf>
    <xf numFmtId="0" fontId="85" fillId="7" borderId="1" xfId="0" applyFont="1" applyFill="1" applyBorder="1" applyAlignment="1">
      <alignment horizontal="center" vertical="center"/>
    </xf>
    <xf numFmtId="3" fontId="87" fillId="7" borderId="1" xfId="0" applyNumberFormat="1" applyFont="1" applyFill="1" applyBorder="1" applyAlignment="1">
      <alignment horizontal="right" vertical="center" wrapText="1"/>
    </xf>
    <xf numFmtId="0" fontId="90" fillId="7" borderId="1" xfId="0" applyFont="1" applyFill="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xf>
    <xf numFmtId="0" fontId="26" fillId="0" borderId="0" xfId="0" applyFont="1" applyFill="1" applyAlignment="1">
      <alignment horizontal="justify" vertical="center"/>
    </xf>
    <xf numFmtId="0" fontId="87" fillId="7" borderId="1" xfId="0" applyFont="1" applyFill="1" applyBorder="1" applyAlignment="1">
      <alignment vertical="center"/>
    </xf>
    <xf numFmtId="0" fontId="92" fillId="7" borderId="1" xfId="0" applyFont="1" applyFill="1" applyBorder="1" applyAlignment="1">
      <alignment horizontal="center" vertical="center" wrapText="1"/>
    </xf>
    <xf numFmtId="0" fontId="92" fillId="7" borderId="1" xfId="0" applyFont="1" applyFill="1" applyBorder="1" applyAlignment="1">
      <alignment vertical="center"/>
    </xf>
    <xf numFmtId="0" fontId="90" fillId="7" borderId="1" xfId="0" applyFont="1" applyFill="1" applyBorder="1" applyAlignment="1">
      <alignment horizontal="center" vertical="center"/>
    </xf>
    <xf numFmtId="0" fontId="16" fillId="0" borderId="0" xfId="0" applyFont="1" applyAlignment="1">
      <alignment vertical="center"/>
    </xf>
    <xf numFmtId="168" fontId="66" fillId="0" borderId="0" xfId="0" applyNumberFormat="1" applyFont="1" applyBorder="1" applyAlignment="1">
      <alignment horizontal="right" vertical="center"/>
    </xf>
    <xf numFmtId="168" fontId="66" fillId="0" borderId="0" xfId="0" applyNumberFormat="1" applyFont="1" applyFill="1" applyBorder="1" applyAlignment="1">
      <alignment horizontal="right" vertical="center"/>
    </xf>
    <xf numFmtId="0" fontId="95" fillId="7" borderId="0" xfId="0" applyFont="1" applyFill="1" applyAlignment="1">
      <alignment horizontal="center" vertical="center"/>
    </xf>
    <xf numFmtId="0" fontId="95" fillId="7" borderId="0" xfId="0" applyFont="1" applyFill="1" applyAlignment="1">
      <alignment horizontal="center" vertical="center" wrapText="1"/>
    </xf>
    <xf numFmtId="0" fontId="0" fillId="5" borderId="0" xfId="0" applyFill="1" applyAlignment="1">
      <alignment horizontal="center"/>
    </xf>
    <xf numFmtId="1" fontId="59" fillId="0" borderId="0" xfId="0" applyNumberFormat="1" applyFont="1" applyFill="1" applyAlignment="1">
      <alignment horizontal="center" vertical="center"/>
    </xf>
    <xf numFmtId="1" fontId="65" fillId="5" borderId="0" xfId="0" applyNumberFormat="1" applyFont="1" applyFill="1" applyAlignment="1">
      <alignment vertical="center"/>
    </xf>
    <xf numFmtId="1" fontId="65" fillId="0" borderId="0" xfId="0" applyNumberFormat="1" applyFont="1" applyFill="1" applyAlignment="1">
      <alignment vertical="center"/>
    </xf>
    <xf numFmtId="1" fontId="65" fillId="0" borderId="0" xfId="0" applyNumberFormat="1" applyFont="1" applyFill="1" applyAlignment="1">
      <alignment horizontal="left" vertical="center"/>
    </xf>
    <xf numFmtId="1" fontId="0" fillId="0" borderId="0" xfId="0" applyNumberFormat="1"/>
    <xf numFmtId="1" fontId="65" fillId="0" borderId="0" xfId="0" applyNumberFormat="1" applyFont="1" applyAlignment="1">
      <alignment horizontal="left"/>
    </xf>
    <xf numFmtId="1" fontId="66" fillId="0" borderId="0" xfId="0" applyNumberFormat="1" applyFont="1"/>
    <xf numFmtId="1" fontId="66" fillId="0" borderId="0" xfId="0" applyNumberFormat="1" applyFont="1" applyAlignment="1">
      <alignment horizontal="left" wrapText="1"/>
    </xf>
    <xf numFmtId="1" fontId="22" fillId="0" borderId="0" xfId="0" applyNumberFormat="1" applyFont="1"/>
    <xf numFmtId="1" fontId="95" fillId="7" borderId="0" xfId="0" applyNumberFormat="1" applyFont="1" applyFill="1" applyAlignment="1">
      <alignment horizontal="center" vertical="center"/>
    </xf>
    <xf numFmtId="1" fontId="78" fillId="0" borderId="1" xfId="0" applyNumberFormat="1" applyFont="1" applyBorder="1" applyAlignment="1">
      <alignment horizontal="center"/>
    </xf>
    <xf numFmtId="1" fontId="78" fillId="0" borderId="1" xfId="0" applyNumberFormat="1" applyFont="1" applyBorder="1"/>
    <xf numFmtId="0" fontId="96" fillId="0" borderId="1" xfId="0" applyFont="1" applyBorder="1" applyAlignment="1">
      <alignment horizontal="center"/>
    </xf>
    <xf numFmtId="0" fontId="97" fillId="0" borderId="1" xfId="0" applyFont="1" applyBorder="1" applyAlignment="1">
      <alignment horizontal="center" vertical="center"/>
    </xf>
    <xf numFmtId="0" fontId="96" fillId="0" borderId="6" xfId="0" applyFont="1" applyBorder="1" applyAlignment="1">
      <alignment horizontal="center"/>
    </xf>
    <xf numFmtId="1" fontId="78" fillId="0" borderId="6" xfId="0" applyNumberFormat="1" applyFont="1" applyBorder="1"/>
    <xf numFmtId="164" fontId="78" fillId="0" borderId="6" xfId="3" applyFont="1" applyBorder="1"/>
    <xf numFmtId="10" fontId="78" fillId="0" borderId="6" xfId="7" applyNumberFormat="1" applyFont="1" applyBorder="1" applyAlignment="1">
      <alignment horizontal="center"/>
    </xf>
    <xf numFmtId="164" fontId="79" fillId="4" borderId="33" xfId="0" applyNumberFormat="1" applyFont="1" applyFill="1" applyBorder="1"/>
    <xf numFmtId="164" fontId="79" fillId="4" borderId="34" xfId="0" applyNumberFormat="1" applyFont="1" applyFill="1" applyBorder="1"/>
    <xf numFmtId="10" fontId="79" fillId="4" borderId="35" xfId="0" applyNumberFormat="1" applyFont="1" applyFill="1" applyBorder="1" applyAlignment="1">
      <alignment horizontal="center"/>
    </xf>
    <xf numFmtId="0" fontId="35" fillId="0" borderId="0" xfId="0" applyFont="1" applyFill="1"/>
    <xf numFmtId="0" fontId="87"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3" fontId="9" fillId="0" borderId="1" xfId="0" applyNumberFormat="1" applyFont="1" applyFill="1" applyBorder="1" applyAlignment="1">
      <alignment horizontal="center" vertical="center"/>
    </xf>
    <xf numFmtId="3" fontId="59" fillId="0" borderId="1" xfId="0" applyNumberFormat="1" applyFont="1" applyFill="1" applyBorder="1" applyAlignment="1">
      <alignment horizontal="center" vertical="center"/>
    </xf>
    <xf numFmtId="0" fontId="67" fillId="4" borderId="0" xfId="0" applyFont="1" applyFill="1" applyBorder="1" applyAlignment="1">
      <alignment horizontal="left"/>
    </xf>
    <xf numFmtId="164" fontId="79" fillId="4" borderId="0" xfId="0" applyNumberFormat="1" applyFont="1" applyFill="1" applyBorder="1"/>
    <xf numFmtId="10" fontId="79" fillId="4" borderId="0" xfId="0" applyNumberFormat="1" applyFont="1" applyFill="1" applyBorder="1" applyAlignment="1">
      <alignment horizontal="center"/>
    </xf>
    <xf numFmtId="0" fontId="67" fillId="0" borderId="0" xfId="0" applyFont="1" applyFill="1" applyBorder="1" applyAlignment="1">
      <alignment horizontal="left"/>
    </xf>
    <xf numFmtId="164" fontId="79" fillId="0" borderId="0" xfId="0" applyNumberFormat="1" applyFont="1" applyFill="1" applyBorder="1"/>
    <xf numFmtId="10" fontId="79" fillId="0" borderId="0" xfId="0" applyNumberFormat="1" applyFont="1" applyFill="1" applyBorder="1" applyAlignment="1">
      <alignment horizontal="center"/>
    </xf>
    <xf numFmtId="0" fontId="67" fillId="0" borderId="1" xfId="0" applyFont="1" applyFill="1" applyBorder="1" applyAlignment="1">
      <alignment horizontal="left"/>
    </xf>
    <xf numFmtId="0" fontId="67" fillId="4" borderId="15" xfId="0" applyFont="1" applyFill="1" applyBorder="1" applyAlignment="1">
      <alignment horizontal="left"/>
    </xf>
    <xf numFmtId="164" fontId="67" fillId="0" borderId="1" xfId="3" applyFont="1" applyFill="1" applyBorder="1" applyAlignment="1">
      <alignment horizontal="right"/>
    </xf>
    <xf numFmtId="164" fontId="67" fillId="0" borderId="1" xfId="0" applyNumberFormat="1" applyFont="1" applyFill="1" applyBorder="1" applyAlignment="1">
      <alignment horizontal="left"/>
    </xf>
    <xf numFmtId="0" fontId="99" fillId="7" borderId="1" xfId="0" applyFont="1" applyFill="1" applyBorder="1" applyAlignment="1">
      <alignment horizontal="center"/>
    </xf>
    <xf numFmtId="0" fontId="41" fillId="0" borderId="0" xfId="0" applyFont="1" applyFill="1"/>
    <xf numFmtId="0" fontId="100" fillId="5" borderId="0" xfId="0" applyFont="1" applyFill="1" applyBorder="1" applyAlignment="1">
      <alignment horizontal="left"/>
    </xf>
    <xf numFmtId="164" fontId="100" fillId="5" borderId="0" xfId="0" applyNumberFormat="1" applyFont="1" applyFill="1" applyBorder="1" applyAlignment="1">
      <alignment horizontal="left"/>
    </xf>
    <xf numFmtId="10" fontId="67" fillId="0" borderId="1" xfId="0" applyNumberFormat="1" applyFont="1" applyFill="1" applyBorder="1" applyAlignment="1">
      <alignment horizontal="right"/>
    </xf>
    <xf numFmtId="10" fontId="100" fillId="5" borderId="0" xfId="0" applyNumberFormat="1" applyFont="1" applyFill="1" applyBorder="1" applyAlignment="1">
      <alignment horizontal="right"/>
    </xf>
    <xf numFmtId="0" fontId="0" fillId="0" borderId="1" xfId="0" applyBorder="1" applyAlignment="1">
      <alignment horizontal="right"/>
    </xf>
    <xf numFmtId="0" fontId="24" fillId="0" borderId="0" xfId="0" applyFont="1" applyBorder="1" applyAlignment="1">
      <alignment vertical="center"/>
    </xf>
    <xf numFmtId="166" fontId="24" fillId="0" borderId="0" xfId="2" applyNumberFormat="1" applyFont="1" applyBorder="1" applyAlignment="1">
      <alignment horizontal="right" vertical="center"/>
    </xf>
    <xf numFmtId="166" fontId="24" fillId="0" borderId="0" xfId="2" applyNumberFormat="1" applyFont="1" applyFill="1" applyBorder="1" applyAlignment="1">
      <alignment horizontal="right" vertical="center"/>
    </xf>
    <xf numFmtId="0" fontId="87" fillId="0" borderId="0" xfId="0" applyFont="1" applyFill="1" applyBorder="1" applyAlignment="1">
      <alignment horizontal="center" vertical="center"/>
    </xf>
    <xf numFmtId="164" fontId="9" fillId="0" borderId="1" xfId="3" applyFont="1" applyFill="1" applyBorder="1" applyAlignment="1">
      <alignment horizontal="center" vertical="center"/>
    </xf>
    <xf numFmtId="0" fontId="87" fillId="7" borderId="22" xfId="0" applyFont="1" applyFill="1" applyBorder="1" applyAlignment="1">
      <alignment horizontal="center" vertical="center"/>
    </xf>
    <xf numFmtId="0" fontId="87" fillId="7" borderId="23" xfId="0" applyFont="1" applyFill="1" applyBorder="1" applyAlignment="1">
      <alignment horizontal="center" vertical="center"/>
    </xf>
    <xf numFmtId="0" fontId="87" fillId="7" borderId="21" xfId="0" applyFont="1" applyFill="1" applyBorder="1" applyAlignment="1">
      <alignment horizontal="center" vertical="center"/>
    </xf>
    <xf numFmtId="0" fontId="9" fillId="0" borderId="4" xfId="0" applyFont="1" applyFill="1" applyBorder="1" applyAlignment="1">
      <alignment horizontal="left" vertical="center"/>
    </xf>
    <xf numFmtId="164" fontId="59" fillId="0" borderId="5" xfId="3" applyFont="1" applyFill="1" applyBorder="1" applyAlignment="1">
      <alignment horizontal="right" vertical="center"/>
    </xf>
    <xf numFmtId="0" fontId="87" fillId="0" borderId="7" xfId="0" applyFont="1" applyFill="1" applyBorder="1" applyAlignment="1">
      <alignment horizontal="center" vertical="center"/>
    </xf>
    <xf numFmtId="164" fontId="59" fillId="0" borderId="8" xfId="0" applyNumberFormat="1" applyFont="1" applyFill="1" applyBorder="1" applyAlignment="1">
      <alignment horizontal="center" vertical="center"/>
    </xf>
    <xf numFmtId="164" fontId="59" fillId="0" borderId="9" xfId="0" applyNumberFormat="1" applyFont="1" applyFill="1" applyBorder="1" applyAlignment="1">
      <alignment horizontal="center" vertical="center"/>
    </xf>
    <xf numFmtId="164" fontId="9" fillId="0" borderId="1" xfId="3" applyFont="1" applyFill="1" applyBorder="1" applyAlignment="1">
      <alignment horizontal="right" vertical="center"/>
    </xf>
    <xf numFmtId="166" fontId="7" fillId="0" borderId="18" xfId="0" applyNumberFormat="1" applyFont="1" applyBorder="1" applyAlignment="1">
      <alignment horizontal="right" vertical="center" wrapText="1"/>
    </xf>
    <xf numFmtId="0" fontId="0" fillId="0" borderId="0" xfId="0" applyAlignment="1">
      <alignment wrapText="1"/>
    </xf>
    <xf numFmtId="3" fontId="0" fillId="0" borderId="0" xfId="0" applyNumberFormat="1" applyAlignment="1">
      <alignment wrapText="1"/>
    </xf>
    <xf numFmtId="0" fontId="28" fillId="0" borderId="0" xfId="0" applyFont="1" applyAlignment="1">
      <alignment horizontal="justify" vertical="center"/>
    </xf>
    <xf numFmtId="0" fontId="31" fillId="0" borderId="0" xfId="0" applyFont="1" applyAlignment="1">
      <alignment horizontal="justify" vertical="center"/>
    </xf>
    <xf numFmtId="49" fontId="31" fillId="0" borderId="19" xfId="0" applyNumberFormat="1" applyFont="1" applyBorder="1" applyAlignment="1">
      <alignment vertical="center" wrapText="1"/>
    </xf>
    <xf numFmtId="166" fontId="59" fillId="0" borderId="17" xfId="2" applyNumberFormat="1" applyFont="1" applyBorder="1" applyAlignment="1">
      <alignment horizontal="right" vertical="center" wrapText="1"/>
    </xf>
    <xf numFmtId="166" fontId="31" fillId="0" borderId="17" xfId="2" applyNumberFormat="1" applyFont="1" applyBorder="1" applyAlignment="1">
      <alignment horizontal="right" vertical="center" wrapText="1"/>
    </xf>
    <xf numFmtId="166" fontId="28" fillId="0" borderId="17" xfId="2" applyNumberFormat="1" applyFont="1" applyBorder="1" applyAlignment="1">
      <alignment horizontal="right" vertical="center" wrapText="1"/>
    </xf>
    <xf numFmtId="0" fontId="28" fillId="0" borderId="19" xfId="0" applyFont="1" applyBorder="1" applyAlignment="1">
      <alignment vertical="center" wrapText="1"/>
    </xf>
    <xf numFmtId="0" fontId="28" fillId="0" borderId="0" xfId="0" applyFont="1" applyBorder="1" applyAlignment="1">
      <alignment vertical="center" wrapText="1"/>
    </xf>
    <xf numFmtId="166" fontId="28" fillId="0" borderId="0" xfId="2" applyNumberFormat="1" applyFont="1" applyBorder="1" applyAlignment="1">
      <alignment horizontal="right" vertical="center" wrapText="1"/>
    </xf>
    <xf numFmtId="166" fontId="28" fillId="0" borderId="17" xfId="2" applyNumberFormat="1" applyFont="1" applyFill="1" applyBorder="1" applyAlignment="1">
      <alignment horizontal="right" vertical="center" wrapText="1"/>
    </xf>
    <xf numFmtId="166" fontId="28" fillId="0" borderId="0" xfId="2" applyNumberFormat="1" applyFont="1" applyFill="1" applyBorder="1" applyAlignment="1">
      <alignment horizontal="right" vertical="center" wrapText="1"/>
    </xf>
    <xf numFmtId="0" fontId="87" fillId="7" borderId="12" xfId="0" applyFont="1" applyFill="1" applyBorder="1" applyAlignment="1">
      <alignment horizontal="center" vertical="center" wrapText="1"/>
    </xf>
    <xf numFmtId="0" fontId="87" fillId="7" borderId="12" xfId="0" applyFont="1" applyFill="1" applyBorder="1" applyAlignment="1">
      <alignment vertical="center" wrapText="1"/>
    </xf>
    <xf numFmtId="0" fontId="87" fillId="7" borderId="17" xfId="0" applyFont="1" applyFill="1" applyBorder="1" applyAlignment="1">
      <alignment horizontal="center" vertical="center" wrapText="1"/>
    </xf>
    <xf numFmtId="0" fontId="87" fillId="7" borderId="17" xfId="0" applyFont="1" applyFill="1" applyBorder="1" applyAlignment="1">
      <alignment vertical="center" wrapText="1"/>
    </xf>
    <xf numFmtId="3" fontId="46" fillId="0" borderId="1" xfId="0" applyNumberFormat="1" applyFont="1" applyBorder="1" applyAlignment="1">
      <alignment horizontal="right" vertical="center"/>
    </xf>
    <xf numFmtId="3" fontId="46" fillId="2" borderId="1" xfId="0" applyNumberFormat="1" applyFont="1" applyFill="1" applyBorder="1" applyAlignment="1">
      <alignment vertical="center"/>
    </xf>
    <xf numFmtId="164" fontId="45" fillId="0" borderId="1" xfId="3" applyFont="1" applyFill="1" applyBorder="1" applyAlignment="1">
      <alignment vertical="top" wrapText="1"/>
    </xf>
    <xf numFmtId="0" fontId="27" fillId="0" borderId="1" xfId="0" applyFont="1" applyFill="1" applyBorder="1" applyAlignment="1">
      <alignment vertical="center" wrapText="1"/>
    </xf>
    <xf numFmtId="164" fontId="59" fillId="0" borderId="0" xfId="0" applyNumberFormat="1" applyFont="1" applyFill="1" applyBorder="1" applyAlignment="1">
      <alignment horizontal="center" vertical="center"/>
    </xf>
    <xf numFmtId="0" fontId="101" fillId="0" borderId="0" xfId="0" applyFont="1" applyFill="1"/>
    <xf numFmtId="164" fontId="7" fillId="0" borderId="18" xfId="0" applyNumberFormat="1" applyFont="1" applyBorder="1" applyAlignment="1">
      <alignment horizontal="right" vertical="center" wrapText="1"/>
    </xf>
    <xf numFmtId="49" fontId="9" fillId="0" borderId="4" xfId="0" applyNumberFormat="1" applyFont="1" applyFill="1" applyBorder="1" applyAlignment="1">
      <alignment horizontal="left" vertical="center"/>
    </xf>
    <xf numFmtId="3" fontId="17" fillId="0" borderId="0" xfId="0" applyNumberFormat="1" applyFont="1" applyAlignment="1">
      <alignment vertical="center" wrapText="1"/>
    </xf>
    <xf numFmtId="3" fontId="49" fillId="0" borderId="1" xfId="0" applyNumberFormat="1" applyFont="1" applyFill="1" applyBorder="1" applyAlignment="1">
      <alignment horizontal="right" vertical="center"/>
    </xf>
    <xf numFmtId="0" fontId="26" fillId="0" borderId="1" xfId="0" applyFont="1" applyBorder="1" applyAlignment="1">
      <alignment horizontal="justify" vertical="center"/>
    </xf>
    <xf numFmtId="3" fontId="31" fillId="0" borderId="1" xfId="0" applyNumberFormat="1" applyFont="1" applyFill="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Fill="1" applyBorder="1" applyAlignment="1">
      <alignment horizontal="right" vertical="center" wrapText="1"/>
    </xf>
    <xf numFmtId="0" fontId="31" fillId="0" borderId="1" xfId="0" applyFont="1" applyBorder="1" applyAlignment="1">
      <alignment horizontal="left" vertical="center" wrapText="1"/>
    </xf>
    <xf numFmtId="0" fontId="87" fillId="7" borderId="1" xfId="0" applyFont="1" applyFill="1" applyBorder="1" applyAlignment="1">
      <alignment horizontal="center" vertical="center" wrapText="1"/>
    </xf>
    <xf numFmtId="3" fontId="32" fillId="0" borderId="1" xfId="0" applyNumberFormat="1" applyFont="1" applyBorder="1" applyAlignment="1">
      <alignment horizontal="right" vertical="center"/>
    </xf>
    <xf numFmtId="3" fontId="28" fillId="0" borderId="1" xfId="2" applyNumberFormat="1" applyFont="1" applyBorder="1" applyAlignment="1">
      <alignment vertical="center" wrapText="1"/>
    </xf>
    <xf numFmtId="3" fontId="28" fillId="0" borderId="1" xfId="2" applyNumberFormat="1" applyFont="1" applyBorder="1" applyAlignment="1">
      <alignment horizontal="right" vertical="center" wrapText="1"/>
    </xf>
    <xf numFmtId="3" fontId="26" fillId="0" borderId="1" xfId="3" applyNumberFormat="1" applyFont="1" applyBorder="1" applyAlignment="1">
      <alignment horizontal="right" vertical="center" wrapText="1"/>
    </xf>
    <xf numFmtId="0" fontId="0" fillId="0" borderId="0" xfId="0" applyAlignment="1">
      <alignment horizontal="left" vertical="top" wrapText="1"/>
    </xf>
    <xf numFmtId="0" fontId="40" fillId="0" borderId="0" xfId="0" applyFont="1"/>
    <xf numFmtId="0" fontId="20" fillId="0" borderId="11" xfId="0" applyFont="1" applyBorder="1" applyAlignment="1">
      <alignmen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20" fillId="0" borderId="18" xfId="0" applyFont="1" applyBorder="1" applyAlignment="1">
      <alignment vertical="center" wrapText="1"/>
    </xf>
    <xf numFmtId="3" fontId="3" fillId="0" borderId="18" xfId="0" applyNumberFormat="1" applyFont="1" applyFill="1" applyBorder="1" applyAlignment="1">
      <alignment horizontal="right" vertical="center" wrapText="1"/>
    </xf>
    <xf numFmtId="0" fontId="3" fillId="0" borderId="18" xfId="0" applyFont="1" applyBorder="1" applyAlignment="1">
      <alignment vertical="center" wrapText="1"/>
    </xf>
    <xf numFmtId="0" fontId="21" fillId="0" borderId="18" xfId="0" applyFont="1" applyBorder="1" applyAlignment="1">
      <alignment vertical="center" wrapText="1"/>
    </xf>
    <xf numFmtId="0" fontId="7" fillId="0" borderId="18" xfId="0" applyFont="1" applyBorder="1" applyAlignment="1">
      <alignment vertical="center" wrapText="1"/>
    </xf>
    <xf numFmtId="3" fontId="7" fillId="0" borderId="18" xfId="0" applyNumberFormat="1" applyFont="1" applyBorder="1" applyAlignment="1">
      <alignment vertical="center" wrapText="1"/>
    </xf>
    <xf numFmtId="0" fontId="22" fillId="0" borderId="18" xfId="0" applyFont="1" applyBorder="1" applyAlignment="1">
      <alignment vertical="top" wrapText="1"/>
    </xf>
    <xf numFmtId="3" fontId="37" fillId="0" borderId="18" xfId="0" applyNumberFormat="1" applyFont="1" applyBorder="1" applyAlignment="1">
      <alignment vertical="top" wrapText="1"/>
    </xf>
    <xf numFmtId="0" fontId="21" fillId="0" borderId="18" xfId="0" applyFont="1" applyBorder="1" applyAlignment="1">
      <alignment vertical="center"/>
    </xf>
    <xf numFmtId="3" fontId="51" fillId="0" borderId="1" xfId="3" applyNumberFormat="1" applyFont="1" applyFill="1" applyBorder="1" applyAlignment="1">
      <alignment horizontal="right" vertical="center"/>
    </xf>
    <xf numFmtId="3" fontId="59" fillId="0" borderId="1" xfId="0" applyNumberFormat="1" applyFont="1" applyBorder="1" applyAlignment="1">
      <alignment horizontal="right" vertical="center"/>
    </xf>
    <xf numFmtId="0" fontId="103" fillId="0" borderId="0" xfId="0" applyFont="1" applyAlignment="1">
      <alignment vertical="center"/>
    </xf>
    <xf numFmtId="0" fontId="78" fillId="0" borderId="1" xfId="0" applyFont="1" applyBorder="1" applyAlignment="1">
      <alignment horizontal="center"/>
    </xf>
    <xf numFmtId="0" fontId="30" fillId="0" borderId="0" xfId="0" applyFont="1" applyBorder="1" applyAlignment="1">
      <alignment vertical="center"/>
    </xf>
    <xf numFmtId="166" fontId="30" fillId="0" borderId="0" xfId="2" applyNumberFormat="1" applyFont="1" applyBorder="1" applyAlignment="1">
      <alignment horizontal="right" vertical="center"/>
    </xf>
    <xf numFmtId="0" fontId="66" fillId="0" borderId="0" xfId="0" applyFont="1" applyAlignment="1">
      <alignment vertical="center"/>
    </xf>
    <xf numFmtId="0" fontId="66" fillId="0" borderId="0" xfId="0" applyFont="1" applyAlignment="1">
      <alignment horizontal="left" vertical="center"/>
    </xf>
    <xf numFmtId="3" fontId="3" fillId="9" borderId="18" xfId="0" applyNumberFormat="1" applyFont="1" applyFill="1" applyBorder="1" applyAlignment="1">
      <alignment horizontal="right" vertical="center" wrapText="1"/>
    </xf>
    <xf numFmtId="0" fontId="20" fillId="9" borderId="18" xfId="0" applyFont="1" applyFill="1" applyBorder="1" applyAlignment="1">
      <alignment vertical="center" wrapText="1"/>
    </xf>
    <xf numFmtId="0" fontId="21" fillId="9" borderId="18" xfId="0" applyFont="1" applyFill="1" applyBorder="1" applyAlignment="1">
      <alignment vertical="center" wrapText="1"/>
    </xf>
    <xf numFmtId="0" fontId="102" fillId="9" borderId="18" xfId="0" applyFont="1" applyFill="1" applyBorder="1" applyAlignment="1">
      <alignment vertical="center" wrapText="1"/>
    </xf>
    <xf numFmtId="3" fontId="3" fillId="9" borderId="19" xfId="0" applyNumberFormat="1" applyFont="1" applyFill="1" applyBorder="1" applyAlignment="1">
      <alignment horizontal="right" vertical="center" wrapText="1"/>
    </xf>
    <xf numFmtId="3" fontId="28" fillId="9" borderId="1" xfId="0" applyNumberFormat="1" applyFont="1" applyFill="1" applyBorder="1" applyAlignment="1">
      <alignment vertical="center" wrapText="1"/>
    </xf>
    <xf numFmtId="0" fontId="31" fillId="9" borderId="1" xfId="0" applyFont="1" applyFill="1" applyBorder="1" applyAlignment="1">
      <alignment vertical="center" wrapText="1"/>
    </xf>
    <xf numFmtId="3" fontId="31"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8" fillId="9" borderId="1" xfId="0" applyFont="1" applyFill="1" applyBorder="1" applyAlignment="1">
      <alignment vertical="center" wrapText="1"/>
    </xf>
    <xf numFmtId="3" fontId="28" fillId="9" borderId="1" xfId="0" applyNumberFormat="1" applyFont="1" applyFill="1" applyBorder="1" applyAlignment="1">
      <alignment horizontal="right" vertical="center" wrapText="1"/>
    </xf>
    <xf numFmtId="3" fontId="32" fillId="9" borderId="1" xfId="0" applyNumberFormat="1" applyFont="1" applyFill="1" applyBorder="1" applyAlignment="1">
      <alignment horizontal="right" vertical="center"/>
    </xf>
    <xf numFmtId="0" fontId="40" fillId="9" borderId="0" xfId="0" applyFont="1" applyFill="1"/>
    <xf numFmtId="0" fontId="41" fillId="9" borderId="0" xfId="0" applyFont="1" applyFill="1"/>
    <xf numFmtId="0" fontId="36" fillId="9" borderId="0" xfId="0" applyFont="1" applyFill="1"/>
    <xf numFmtId="0" fontId="0" fillId="9" borderId="0" xfId="0" applyFill="1"/>
    <xf numFmtId="0" fontId="39" fillId="0" borderId="0" xfId="0" applyFont="1"/>
    <xf numFmtId="0" fontId="9" fillId="0" borderId="4" xfId="0" applyFont="1" applyBorder="1" applyAlignment="1">
      <alignment horizontal="left" vertical="center"/>
    </xf>
    <xf numFmtId="0" fontId="87" fillId="0" borderId="7" xfId="0" applyFont="1" applyBorder="1" applyAlignment="1">
      <alignment horizontal="center" vertical="center"/>
    </xf>
    <xf numFmtId="164" fontId="59" fillId="0" borderId="8" xfId="0" applyNumberFormat="1" applyFont="1" applyBorder="1" applyAlignment="1">
      <alignment horizontal="center" vertical="center"/>
    </xf>
    <xf numFmtId="164" fontId="59" fillId="0" borderId="9" xfId="0" applyNumberFormat="1"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40" fillId="0" borderId="0" xfId="0" applyFont="1" applyAlignment="1">
      <alignment vertical="top" wrapText="1"/>
    </xf>
    <xf numFmtId="0" fontId="26" fillId="0" borderId="0" xfId="0" applyFont="1" applyAlignment="1">
      <alignment horizontal="justify" vertical="center" wrapText="1"/>
    </xf>
    <xf numFmtId="164" fontId="0" fillId="0" borderId="0" xfId="0" applyNumberFormat="1" applyFill="1"/>
    <xf numFmtId="166" fontId="35" fillId="0" borderId="0" xfId="0" applyNumberFormat="1" applyFont="1" applyBorder="1"/>
    <xf numFmtId="3" fontId="52" fillId="0" borderId="0" xfId="0" applyNumberFormat="1" applyFont="1" applyBorder="1" applyAlignment="1">
      <alignment horizontal="right" vertical="center"/>
    </xf>
    <xf numFmtId="3" fontId="35" fillId="0" borderId="0" xfId="0" applyNumberFormat="1" applyFont="1" applyBorder="1"/>
    <xf numFmtId="0" fontId="38" fillId="0" borderId="1" xfId="0" applyFont="1" applyBorder="1" applyAlignment="1">
      <alignment vertical="center" wrapText="1"/>
    </xf>
    <xf numFmtId="0" fontId="16" fillId="0" borderId="1" xfId="0" applyFont="1" applyBorder="1" applyAlignment="1">
      <alignment vertical="center" wrapText="1"/>
    </xf>
    <xf numFmtId="3" fontId="11" fillId="0" borderId="1" xfId="3" applyNumberFormat="1" applyFont="1" applyBorder="1" applyAlignment="1">
      <alignment vertical="center" wrapText="1"/>
    </xf>
    <xf numFmtId="0" fontId="11" fillId="0" borderId="1" xfId="0" applyFont="1" applyBorder="1" applyAlignment="1">
      <alignment vertical="center"/>
    </xf>
    <xf numFmtId="166" fontId="31" fillId="0" borderId="17" xfId="2" applyNumberFormat="1" applyFont="1" applyFill="1" applyBorder="1" applyAlignment="1">
      <alignment horizontal="right" vertical="center"/>
    </xf>
    <xf numFmtId="3" fontId="51" fillId="0" borderId="38" xfId="0" applyNumberFormat="1" applyFont="1" applyFill="1" applyBorder="1" applyAlignment="1">
      <alignment horizontal="right" vertical="center"/>
    </xf>
    <xf numFmtId="3" fontId="31" fillId="0" borderId="17" xfId="0" applyNumberFormat="1" applyFont="1" applyFill="1" applyBorder="1" applyAlignment="1">
      <alignment horizontal="right" vertical="center" wrapText="1"/>
    </xf>
    <xf numFmtId="49" fontId="31" fillId="0" borderId="4" xfId="0" applyNumberFormat="1" applyFont="1" applyBorder="1" applyAlignment="1">
      <alignment vertical="center"/>
    </xf>
    <xf numFmtId="164" fontId="9" fillId="0" borderId="14" xfId="3" applyFont="1" applyFill="1" applyBorder="1" applyAlignment="1">
      <alignment horizontal="center" vertical="center"/>
    </xf>
    <xf numFmtId="166" fontId="31" fillId="0" borderId="14" xfId="2" applyNumberFormat="1" applyFont="1" applyFill="1" applyBorder="1" applyAlignment="1">
      <alignment horizontal="right" vertical="center"/>
    </xf>
    <xf numFmtId="164" fontId="9" fillId="0" borderId="5" xfId="3" applyFont="1" applyFill="1" applyBorder="1" applyAlignment="1">
      <alignment horizontal="center" vertical="center"/>
    </xf>
    <xf numFmtId="166" fontId="31" fillId="0" borderId="5" xfId="2" applyNumberFormat="1" applyFont="1" applyFill="1" applyBorder="1" applyAlignment="1">
      <alignment horizontal="right" vertical="center"/>
    </xf>
    <xf numFmtId="49" fontId="104" fillId="0" borderId="4" xfId="0" applyNumberFormat="1" applyFont="1" applyBorder="1" applyAlignment="1">
      <alignment horizontal="left" vertical="center"/>
    </xf>
    <xf numFmtId="0" fontId="82" fillId="6" borderId="24" xfId="0" applyFont="1" applyFill="1" applyBorder="1" applyAlignment="1">
      <alignment horizontal="center" vertical="center" wrapText="1"/>
    </xf>
    <xf numFmtId="0" fontId="63" fillId="6" borderId="28" xfId="0" applyFont="1" applyFill="1" applyBorder="1" applyAlignment="1">
      <alignment horizontal="center" vertical="center"/>
    </xf>
    <xf numFmtId="0" fontId="63" fillId="6" borderId="29" xfId="0" applyFont="1" applyFill="1" applyBorder="1" applyAlignment="1">
      <alignment horizontal="center" vertical="center"/>
    </xf>
    <xf numFmtId="0" fontId="63" fillId="6" borderId="16" xfId="0" applyFont="1" applyFill="1" applyBorder="1" applyAlignment="1">
      <alignment horizontal="center" vertical="center"/>
    </xf>
    <xf numFmtId="0" fontId="63" fillId="6" borderId="0" xfId="0" applyFont="1" applyFill="1" applyAlignment="1">
      <alignment horizontal="center" vertical="center"/>
    </xf>
    <xf numFmtId="0" fontId="63" fillId="6" borderId="30" xfId="0" applyFont="1" applyFill="1" applyBorder="1" applyAlignment="1">
      <alignment horizontal="center" vertical="center"/>
    </xf>
    <xf numFmtId="0" fontId="63" fillId="6" borderId="31" xfId="0" applyFont="1" applyFill="1" applyBorder="1" applyAlignment="1">
      <alignment horizontal="center" vertical="center"/>
    </xf>
    <xf numFmtId="0" fontId="63" fillId="6" borderId="20" xfId="0" applyFont="1" applyFill="1" applyBorder="1" applyAlignment="1">
      <alignment horizontal="center" vertical="center"/>
    </xf>
    <xf numFmtId="0" fontId="63" fillId="6" borderId="32" xfId="0" applyFont="1" applyFill="1" applyBorder="1" applyAlignment="1">
      <alignment horizontal="center" vertical="center"/>
    </xf>
    <xf numFmtId="0" fontId="66" fillId="0" borderId="13" xfId="0" applyFont="1" applyBorder="1" applyAlignment="1">
      <alignment horizontal="left"/>
    </xf>
    <xf numFmtId="0" fontId="66" fillId="0" borderId="14" xfId="0" applyFont="1" applyBorder="1" applyAlignment="1">
      <alignment horizontal="left"/>
    </xf>
    <xf numFmtId="0" fontId="65" fillId="0" borderId="0" xfId="0" applyFont="1" applyAlignment="1">
      <alignment horizontal="left"/>
    </xf>
    <xf numFmtId="0" fontId="66" fillId="0" borderId="0" xfId="0" applyFont="1" applyAlignment="1">
      <alignment horizontal="left"/>
    </xf>
    <xf numFmtId="0" fontId="66" fillId="0" borderId="0" xfId="0" applyFont="1" applyAlignment="1">
      <alignment horizontal="left" wrapText="1"/>
    </xf>
    <xf numFmtId="0" fontId="0" fillId="0" borderId="0" xfId="0" applyAlignment="1">
      <alignment horizontal="left"/>
    </xf>
    <xf numFmtId="0" fontId="94" fillId="7" borderId="16" xfId="0" applyFont="1" applyFill="1" applyBorder="1" applyAlignment="1">
      <alignment horizontal="center"/>
    </xf>
    <xf numFmtId="0" fontId="94" fillId="7" borderId="0" xfId="0" applyFont="1" applyFill="1" applyBorder="1" applyAlignment="1">
      <alignment horizontal="center"/>
    </xf>
    <xf numFmtId="0" fontId="65" fillId="0" borderId="0" xfId="0" applyFont="1" applyBorder="1" applyAlignment="1">
      <alignment horizontal="center"/>
    </xf>
    <xf numFmtId="0" fontId="20" fillId="9" borderId="0" xfId="0" applyFont="1" applyFill="1" applyAlignment="1">
      <alignment horizontal="left" vertical="top" wrapText="1"/>
    </xf>
    <xf numFmtId="0" fontId="21" fillId="9" borderId="0" xfId="0" applyFont="1" applyFill="1" applyAlignment="1">
      <alignment horizontal="left" vertical="top" wrapText="1"/>
    </xf>
    <xf numFmtId="0" fontId="57" fillId="0" borderId="0" xfId="0" applyFont="1" applyFill="1" applyAlignment="1">
      <alignment horizontal="left" vertical="center" wrapText="1"/>
    </xf>
    <xf numFmtId="0" fontId="75" fillId="0" borderId="0" xfId="0" applyFont="1" applyAlignment="1">
      <alignment horizontal="left"/>
    </xf>
    <xf numFmtId="0" fontId="79" fillId="0" borderId="0" xfId="0" applyFont="1" applyAlignment="1">
      <alignment horizontal="left" vertical="center"/>
    </xf>
    <xf numFmtId="0" fontId="78" fillId="0" borderId="1" xfId="0" applyFont="1" applyBorder="1" applyAlignment="1">
      <alignment horizontal="center"/>
    </xf>
    <xf numFmtId="0" fontId="27" fillId="0" borderId="1" xfId="0" applyFont="1" applyBorder="1" applyAlignment="1">
      <alignment horizontal="center" vertical="center"/>
    </xf>
    <xf numFmtId="0" fontId="0" fillId="0" borderId="14" xfId="0" applyBorder="1" applyAlignment="1">
      <alignment horizontal="left"/>
    </xf>
    <xf numFmtId="0" fontId="66" fillId="0" borderId="0" xfId="0" applyFont="1" applyFill="1" applyAlignment="1">
      <alignment horizontal="left" wrapText="1"/>
    </xf>
    <xf numFmtId="0" fontId="66" fillId="0" borderId="0" xfId="0" applyFont="1" applyAlignment="1">
      <alignment horizontal="left" vertical="center" wrapText="1"/>
    </xf>
    <xf numFmtId="0" fontId="67" fillId="4" borderId="13" xfId="0" applyFont="1" applyFill="1" applyBorder="1" applyAlignment="1">
      <alignment horizontal="left"/>
    </xf>
    <xf numFmtId="0" fontId="67" fillId="4" borderId="15" xfId="0" applyFont="1" applyFill="1" applyBorder="1" applyAlignment="1">
      <alignment horizontal="left"/>
    </xf>
    <xf numFmtId="0" fontId="67" fillId="4" borderId="36" xfId="0" applyFont="1" applyFill="1" applyBorder="1" applyAlignment="1">
      <alignment horizontal="left"/>
    </xf>
    <xf numFmtId="0" fontId="58" fillId="0" borderId="0" xfId="0" applyFont="1" applyAlignment="1">
      <alignment horizontal="center" vertical="center" wrapText="1"/>
    </xf>
    <xf numFmtId="0" fontId="93" fillId="7" borderId="25" xfId="0" applyFont="1" applyFill="1" applyBorder="1" applyAlignment="1">
      <alignment horizontal="center" vertical="center" wrapText="1"/>
    </xf>
    <xf numFmtId="0" fontId="93" fillId="7" borderId="26" xfId="0" applyFont="1" applyFill="1" applyBorder="1" applyAlignment="1">
      <alignment horizontal="center" vertical="center" wrapText="1"/>
    </xf>
    <xf numFmtId="3" fontId="93" fillId="7" borderId="25" xfId="0" applyNumberFormat="1" applyFont="1" applyFill="1" applyBorder="1" applyAlignment="1">
      <alignment horizontal="center" vertical="center" wrapText="1"/>
    </xf>
    <xf numFmtId="3" fontId="93" fillId="7" borderId="26" xfId="0" applyNumberFormat="1" applyFont="1" applyFill="1" applyBorder="1" applyAlignment="1">
      <alignment horizontal="center" vertical="center" wrapText="1"/>
    </xf>
    <xf numFmtId="0" fontId="98" fillId="7" borderId="23" xfId="0" applyFont="1" applyFill="1" applyBorder="1" applyAlignment="1">
      <alignment vertical="center" wrapText="1"/>
    </xf>
    <xf numFmtId="0" fontId="98" fillId="7" borderId="1" xfId="0" applyFont="1" applyFill="1" applyBorder="1" applyAlignment="1">
      <alignment vertical="center" wrapText="1"/>
    </xf>
    <xf numFmtId="0" fontId="92" fillId="7" borderId="23"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21"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20" fillId="0" borderId="11" xfId="0" applyFont="1" applyBorder="1" applyAlignment="1">
      <alignment vertical="center" wrapText="1"/>
    </xf>
    <xf numFmtId="0" fontId="20" fillId="0" borderId="19" xfId="0" applyFont="1" applyBorder="1" applyAlignment="1">
      <alignment vertical="center" wrapText="1"/>
    </xf>
    <xf numFmtId="3" fontId="3" fillId="0" borderId="11"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3" fontId="3" fillId="9" borderId="11" xfId="0" applyNumberFormat="1" applyFont="1" applyFill="1" applyBorder="1" applyAlignment="1">
      <alignment horizontal="right" vertical="center" wrapText="1"/>
    </xf>
    <xf numFmtId="3" fontId="3" fillId="9" borderId="19" xfId="0" applyNumberFormat="1" applyFont="1" applyFill="1" applyBorder="1" applyAlignment="1">
      <alignment horizontal="right" vertical="center" wrapText="1"/>
    </xf>
    <xf numFmtId="0" fontId="98" fillId="7" borderId="22" xfId="0" applyFont="1" applyFill="1" applyBorder="1" applyAlignment="1">
      <alignment vertical="center" wrapText="1"/>
    </xf>
    <xf numFmtId="0" fontId="98" fillId="7" borderId="4" xfId="0" applyFont="1" applyFill="1" applyBorder="1" applyAlignment="1">
      <alignment vertical="center" wrapText="1"/>
    </xf>
    <xf numFmtId="3" fontId="92" fillId="7" borderId="23" xfId="0" applyNumberFormat="1" applyFont="1" applyFill="1" applyBorder="1" applyAlignment="1">
      <alignment horizontal="center" vertical="center" wrapText="1"/>
    </xf>
    <xf numFmtId="3" fontId="92" fillId="7" borderId="1" xfId="0" applyNumberFormat="1" applyFont="1" applyFill="1" applyBorder="1" applyAlignment="1">
      <alignment horizontal="center" vertical="center" wrapText="1"/>
    </xf>
    <xf numFmtId="0" fontId="68" fillId="5" borderId="0" xfId="0" applyFont="1" applyFill="1" applyAlignment="1">
      <alignment horizontal="left" vertical="center"/>
    </xf>
    <xf numFmtId="0" fontId="24" fillId="0" borderId="0" xfId="0" applyFont="1" applyAlignment="1">
      <alignment horizontal="center" vertical="center" wrapText="1"/>
    </xf>
    <xf numFmtId="0" fontId="19" fillId="0" borderId="0" xfId="0" applyFont="1" applyAlignment="1">
      <alignment horizontal="center" vertical="center"/>
    </xf>
    <xf numFmtId="0" fontId="87" fillId="7" borderId="1" xfId="0" applyFont="1" applyFill="1" applyBorder="1" applyAlignment="1">
      <alignment horizontal="center" vertical="center" wrapText="1"/>
    </xf>
    <xf numFmtId="0" fontId="30" fillId="0" borderId="0" xfId="0" applyFont="1" applyAlignment="1">
      <alignment horizontal="center" vertical="center"/>
    </xf>
    <xf numFmtId="0" fontId="60" fillId="0" borderId="0" xfId="0" applyFont="1" applyFill="1" applyAlignment="1">
      <alignment horizontal="center" vertical="center"/>
    </xf>
    <xf numFmtId="0" fontId="61" fillId="0" borderId="0" xfId="0" applyFont="1" applyFill="1" applyAlignment="1">
      <alignment horizontal="center" vertical="center"/>
    </xf>
    <xf numFmtId="0" fontId="24" fillId="0" borderId="0" xfId="0" applyFont="1" applyAlignment="1">
      <alignment horizontal="center" vertical="center"/>
    </xf>
    <xf numFmtId="0" fontId="32" fillId="0" borderId="1" xfId="0" applyFont="1" applyBorder="1" applyAlignment="1">
      <alignment vertical="center" wrapText="1"/>
    </xf>
    <xf numFmtId="3" fontId="32" fillId="0" borderId="1" xfId="0" applyNumberFormat="1" applyFont="1" applyBorder="1" applyAlignment="1">
      <alignment horizontal="right" vertical="center"/>
    </xf>
    <xf numFmtId="0" fontId="19" fillId="0" borderId="0" xfId="0" applyFont="1" applyBorder="1" applyAlignment="1">
      <alignment horizontal="center" vertical="center"/>
    </xf>
    <xf numFmtId="0" fontId="70" fillId="0" borderId="0" xfId="0" applyFont="1" applyAlignment="1">
      <alignment horizontal="left" vertical="center" wrapText="1"/>
    </xf>
    <xf numFmtId="0" fontId="89" fillId="7" borderId="1" xfId="0" applyFont="1" applyFill="1" applyBorder="1" applyAlignment="1">
      <alignment horizontal="justify" vertical="center" wrapText="1"/>
    </xf>
    <xf numFmtId="0" fontId="90" fillId="7" borderId="1" xfId="0" applyFont="1" applyFill="1" applyBorder="1" applyAlignment="1">
      <alignment horizontal="center" vertical="center" wrapText="1"/>
    </xf>
    <xf numFmtId="0" fontId="90" fillId="7" borderId="6"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7" xfId="0" applyFont="1" applyFill="1" applyBorder="1" applyAlignment="1">
      <alignment horizontal="center" vertical="center" wrapText="1"/>
    </xf>
    <xf numFmtId="0" fontId="68" fillId="0" borderId="0" xfId="0" applyFont="1" applyAlignment="1">
      <alignment horizontal="left" vertical="center"/>
    </xf>
    <xf numFmtId="0" fontId="71" fillId="0" borderId="0" xfId="0" applyFont="1" applyAlignment="1">
      <alignment horizontal="left" vertical="center"/>
    </xf>
    <xf numFmtId="0" fontId="85"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8" fillId="7"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87" fillId="7" borderId="1" xfId="0" applyFont="1" applyFill="1" applyBorder="1" applyAlignment="1">
      <alignment vertical="center" wrapText="1"/>
    </xf>
    <xf numFmtId="0" fontId="28" fillId="0" borderId="1" xfId="0" applyFont="1" applyBorder="1" applyAlignment="1">
      <alignment vertical="center" wrapText="1"/>
    </xf>
    <xf numFmtId="0" fontId="70" fillId="0" borderId="0" xfId="0" applyFont="1" applyAlignment="1">
      <alignment horizontal="left" vertical="center"/>
    </xf>
    <xf numFmtId="0" fontId="68" fillId="0" borderId="0" xfId="0" applyFont="1" applyAlignment="1">
      <alignment horizontal="left" vertical="center" wrapText="1"/>
    </xf>
    <xf numFmtId="0" fontId="85" fillId="7" borderId="1" xfId="0" applyFont="1" applyFill="1" applyBorder="1" applyAlignment="1">
      <alignment horizontal="center" vertical="center"/>
    </xf>
    <xf numFmtId="0" fontId="87" fillId="8" borderId="6" xfId="0" applyFont="1" applyFill="1" applyBorder="1" applyAlignment="1">
      <alignment horizontal="center" vertical="center" wrapText="1"/>
    </xf>
    <xf numFmtId="0" fontId="87" fillId="8" borderId="27" xfId="0" applyFont="1" applyFill="1" applyBorder="1" applyAlignment="1">
      <alignment horizontal="center" vertical="center" wrapText="1"/>
    </xf>
    <xf numFmtId="0" fontId="89" fillId="7" borderId="37" xfId="0" applyFont="1" applyFill="1" applyBorder="1" applyAlignment="1">
      <alignment horizontal="center" vertical="center"/>
    </xf>
    <xf numFmtId="0" fontId="68" fillId="0" borderId="0" xfId="0" applyFont="1" applyFill="1" applyAlignment="1">
      <alignment horizontal="left" vertical="center"/>
    </xf>
    <xf numFmtId="0" fontId="68" fillId="0" borderId="0" xfId="0" applyFont="1" applyFill="1" applyBorder="1" applyAlignment="1">
      <alignment horizontal="left" wrapText="1"/>
    </xf>
    <xf numFmtId="0" fontId="68" fillId="0" borderId="0" xfId="0" applyFont="1" applyFill="1" applyAlignment="1">
      <alignment horizontal="left" vertical="center" wrapText="1"/>
    </xf>
    <xf numFmtId="0" fontId="70" fillId="0" borderId="0" xfId="0" applyFont="1" applyFill="1" applyAlignment="1">
      <alignment horizontal="left" vertical="center"/>
    </xf>
    <xf numFmtId="0" fontId="87" fillId="7" borderId="11" xfId="0" applyFont="1" applyFill="1" applyBorder="1" applyAlignment="1">
      <alignment horizontal="center" vertical="center" wrapText="1"/>
    </xf>
    <xf numFmtId="0" fontId="87" fillId="7" borderId="19" xfId="0" applyFont="1" applyFill="1" applyBorder="1" applyAlignment="1">
      <alignment horizontal="center" vertical="center" wrapText="1"/>
    </xf>
    <xf numFmtId="0" fontId="73" fillId="0" borderId="0" xfId="0" applyFont="1" applyAlignment="1">
      <alignment horizontal="justify"/>
    </xf>
    <xf numFmtId="0" fontId="83" fillId="7" borderId="16" xfId="0" applyFont="1" applyFill="1" applyBorder="1" applyAlignment="1">
      <alignment horizontal="center" wrapText="1"/>
    </xf>
    <xf numFmtId="0" fontId="83" fillId="7" borderId="0" xfId="0" applyFont="1" applyFill="1" applyBorder="1" applyAlignment="1">
      <alignment horizontal="center" wrapText="1"/>
    </xf>
  </cellXfs>
  <cellStyles count="9">
    <cellStyle name="Excel Built-in Normal" xfId="1"/>
    <cellStyle name="Millares" xfId="2" builtinId="3"/>
    <cellStyle name="Millares [0]" xfId="3" builtinId="6"/>
    <cellStyle name="Millares [0] 2" xfId="8"/>
    <cellStyle name="Millares 2" xfId="4"/>
    <cellStyle name="Millares 3" xfId="5"/>
    <cellStyle name="Normal" xfId="0" builtinId="0"/>
    <cellStyle name="Normal 2" xfId="6"/>
    <cellStyle name="Porcentaje" xfId="7"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xmlns=""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encias Cyce" id="{63FD8416-5AA9-40BC-8FF5-D7FC55D0B88E}" userId="fef0e68ae67e401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2-03-29T15:51:24.89" personId="{63FD8416-5AA9-40BC-8FF5-D7FC55D0B88E}" id="{6F3DA44C-268E-401A-85CE-C7AF832133A9}">
    <text>exponer mejor las cuentas</text>
  </threadedComment>
</ThreadedComments>
</file>

<file path=xl/threadedComments/threadedComment2.xml><?xml version="1.0" encoding="utf-8"?>
<ThreadedComments xmlns="http://schemas.microsoft.com/office/spreadsheetml/2018/threadedcomments" xmlns:x="http://schemas.openxmlformats.org/spreadsheetml/2006/main">
  <threadedComment ref="C34" dT="2022-03-29T16:01:12.85" personId="{63FD8416-5AA9-40BC-8FF5-D7FC55D0B88E}" id="{D05BCD12-6DD2-4BA3-B363-734EC7F3788F}">
    <text>segun vpn es 7.000.000. Verificar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C4:G27"/>
  <sheetViews>
    <sheetView showGridLines="0" zoomScale="95" zoomScaleNormal="95" workbookViewId="0">
      <selection activeCell="A2" sqref="A2"/>
    </sheetView>
  </sheetViews>
  <sheetFormatPr baseColWidth="10" defaultColWidth="10.6640625" defaultRowHeight="14.4"/>
  <cols>
    <col min="1" max="1" width="1.5546875" style="50" customWidth="1"/>
    <col min="2" max="2" width="2" style="50" customWidth="1"/>
    <col min="3" max="3" width="14" style="50" customWidth="1"/>
    <col min="4" max="4" width="20.5546875" style="50" customWidth="1"/>
    <col min="5" max="5" width="23.6640625" style="50" customWidth="1"/>
    <col min="6" max="6" width="36.33203125" style="50" customWidth="1"/>
    <col min="7" max="7" width="25.5546875" style="50" hidden="1" customWidth="1"/>
    <col min="8" max="16384" width="10.6640625" style="50"/>
  </cols>
  <sheetData>
    <row r="4" spans="3:7" ht="14.7" customHeight="1">
      <c r="C4" s="417" t="s">
        <v>441</v>
      </c>
      <c r="D4" s="418"/>
      <c r="E4" s="418"/>
      <c r="F4" s="418"/>
      <c r="G4" s="419"/>
    </row>
    <row r="5" spans="3:7">
      <c r="C5" s="420"/>
      <c r="D5" s="421"/>
      <c r="E5" s="421"/>
      <c r="F5" s="421"/>
      <c r="G5" s="422"/>
    </row>
    <row r="6" spans="3:7">
      <c r="C6" s="420"/>
      <c r="D6" s="421"/>
      <c r="E6" s="421"/>
      <c r="F6" s="421"/>
      <c r="G6" s="422"/>
    </row>
    <row r="7" spans="3:7">
      <c r="C7" s="420"/>
      <c r="D7" s="421"/>
      <c r="E7" s="421"/>
      <c r="F7" s="421"/>
      <c r="G7" s="422"/>
    </row>
    <row r="8" spans="3:7">
      <c r="C8" s="420"/>
      <c r="D8" s="421"/>
      <c r="E8" s="421"/>
      <c r="F8" s="421"/>
      <c r="G8" s="422"/>
    </row>
    <row r="9" spans="3:7">
      <c r="C9" s="420"/>
      <c r="D9" s="421"/>
      <c r="E9" s="421"/>
      <c r="F9" s="421"/>
      <c r="G9" s="422"/>
    </row>
    <row r="10" spans="3:7">
      <c r="C10" s="420"/>
      <c r="D10" s="421"/>
      <c r="E10" s="421"/>
      <c r="F10" s="421"/>
      <c r="G10" s="422"/>
    </row>
    <row r="11" spans="3:7">
      <c r="C11" s="420"/>
      <c r="D11" s="421"/>
      <c r="E11" s="421"/>
      <c r="F11" s="421"/>
      <c r="G11" s="422"/>
    </row>
    <row r="12" spans="3:7">
      <c r="C12" s="420"/>
      <c r="D12" s="421"/>
      <c r="E12" s="421"/>
      <c r="F12" s="421"/>
      <c r="G12" s="422"/>
    </row>
    <row r="13" spans="3:7">
      <c r="C13" s="420"/>
      <c r="D13" s="421"/>
      <c r="E13" s="421"/>
      <c r="F13" s="421"/>
      <c r="G13" s="422"/>
    </row>
    <row r="14" spans="3:7">
      <c r="C14" s="420"/>
      <c r="D14" s="421"/>
      <c r="E14" s="421"/>
      <c r="F14" s="421"/>
      <c r="G14" s="422"/>
    </row>
    <row r="15" spans="3:7">
      <c r="C15" s="420"/>
      <c r="D15" s="421"/>
      <c r="E15" s="421"/>
      <c r="F15" s="421"/>
      <c r="G15" s="422"/>
    </row>
    <row r="16" spans="3:7">
      <c r="C16" s="420"/>
      <c r="D16" s="421"/>
      <c r="E16" s="421"/>
      <c r="F16" s="421"/>
      <c r="G16" s="422"/>
    </row>
    <row r="17" spans="3:7">
      <c r="C17" s="420"/>
      <c r="D17" s="421"/>
      <c r="E17" s="421"/>
      <c r="F17" s="421"/>
      <c r="G17" s="422"/>
    </row>
    <row r="18" spans="3:7" ht="1.95" customHeight="1">
      <c r="C18" s="420"/>
      <c r="D18" s="421"/>
      <c r="E18" s="421"/>
      <c r="F18" s="421"/>
      <c r="G18" s="422"/>
    </row>
    <row r="19" spans="3:7">
      <c r="C19" s="420"/>
      <c r="D19" s="421"/>
      <c r="E19" s="421"/>
      <c r="F19" s="421"/>
      <c r="G19" s="422"/>
    </row>
    <row r="20" spans="3:7">
      <c r="C20" s="420"/>
      <c r="D20" s="421"/>
      <c r="E20" s="421"/>
      <c r="F20" s="421"/>
      <c r="G20" s="422"/>
    </row>
    <row r="21" spans="3:7">
      <c r="C21" s="420"/>
      <c r="D21" s="421"/>
      <c r="E21" s="421"/>
      <c r="F21" s="421"/>
      <c r="G21" s="422"/>
    </row>
    <row r="22" spans="3:7" ht="9.6" customHeight="1">
      <c r="C22" s="420"/>
      <c r="D22" s="421"/>
      <c r="E22" s="421"/>
      <c r="F22" s="421"/>
      <c r="G22" s="422"/>
    </row>
    <row r="23" spans="3:7" hidden="1">
      <c r="C23" s="420"/>
      <c r="D23" s="421"/>
      <c r="E23" s="421"/>
      <c r="F23" s="421"/>
      <c r="G23" s="422"/>
    </row>
    <row r="24" spans="3:7" hidden="1">
      <c r="C24" s="420"/>
      <c r="D24" s="421"/>
      <c r="E24" s="421"/>
      <c r="F24" s="421"/>
      <c r="G24" s="422"/>
    </row>
    <row r="25" spans="3:7" hidden="1">
      <c r="C25" s="420"/>
      <c r="D25" s="421"/>
      <c r="E25" s="421"/>
      <c r="F25" s="421"/>
      <c r="G25" s="422"/>
    </row>
    <row r="26" spans="3:7" ht="90" customHeight="1">
      <c r="C26" s="423"/>
      <c r="D26" s="424"/>
      <c r="E26" s="424"/>
      <c r="F26" s="424"/>
      <c r="G26" s="425"/>
    </row>
    <row r="27" spans="3:7" ht="45" customHeight="1"/>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F95"/>
  <sheetViews>
    <sheetView showGridLines="0" topLeftCell="A13" zoomScaleNormal="100" workbookViewId="0">
      <selection activeCell="C20" sqref="C20"/>
    </sheetView>
  </sheetViews>
  <sheetFormatPr baseColWidth="10" defaultColWidth="10.6640625" defaultRowHeight="14.4"/>
  <cols>
    <col min="1" max="1" width="4.6640625" customWidth="1"/>
    <col min="2" max="2" width="48.6640625" bestFit="1" customWidth="1"/>
    <col min="3" max="3" width="20.5546875" customWidth="1"/>
    <col min="4" max="4" width="19.33203125" bestFit="1" customWidth="1"/>
    <col min="5" max="5" width="18.33203125" customWidth="1"/>
    <col min="7" max="7" width="16.6640625" customWidth="1"/>
  </cols>
  <sheetData>
    <row r="2" spans="2:6" s="50" customFormat="1"/>
    <row r="3" spans="2:6" s="50" customFormat="1"/>
    <row r="4" spans="2:6">
      <c r="B4" s="193" t="s">
        <v>227</v>
      </c>
    </row>
    <row r="5" spans="2:6" ht="8.6999999999999993" customHeight="1"/>
    <row r="6" spans="2:6">
      <c r="B6" s="499" t="s">
        <v>171</v>
      </c>
      <c r="C6" s="239" t="s">
        <v>228</v>
      </c>
      <c r="D6" s="239"/>
      <c r="E6" s="239"/>
      <c r="F6" s="239" t="s">
        <v>228</v>
      </c>
    </row>
    <row r="7" spans="2:6">
      <c r="B7" s="500"/>
      <c r="C7" s="239" t="s">
        <v>229</v>
      </c>
      <c r="D7" s="239" t="s">
        <v>230</v>
      </c>
      <c r="E7" s="239" t="s">
        <v>231</v>
      </c>
      <c r="F7" s="239" t="s">
        <v>232</v>
      </c>
    </row>
    <row r="8" spans="2:6">
      <c r="B8" s="60" t="s">
        <v>39</v>
      </c>
      <c r="C8" s="61">
        <v>54939392</v>
      </c>
      <c r="D8" s="62">
        <f>14818310+4772727</f>
        <v>19591037</v>
      </c>
      <c r="E8" s="62">
        <v>-2091038</v>
      </c>
      <c r="F8" s="62">
        <f t="shared" ref="F8:F9" si="0">SUM(C8:E8)</f>
        <v>72439391</v>
      </c>
    </row>
    <row r="9" spans="2:6">
      <c r="B9" s="65" t="s">
        <v>233</v>
      </c>
      <c r="C9" s="66">
        <v>54939392</v>
      </c>
      <c r="D9" s="66">
        <f t="shared" ref="D9:E9" si="1">+D8</f>
        <v>19591037</v>
      </c>
      <c r="E9" s="66">
        <f t="shared" si="1"/>
        <v>-2091038</v>
      </c>
      <c r="F9" s="67">
        <f t="shared" si="0"/>
        <v>72439391</v>
      </c>
    </row>
    <row r="10" spans="2:6">
      <c r="B10" s="60" t="s">
        <v>234</v>
      </c>
      <c r="C10" s="62">
        <f>+C8</f>
        <v>54939392</v>
      </c>
      <c r="D10" s="63">
        <v>0</v>
      </c>
      <c r="E10" s="62">
        <f>+E8</f>
        <v>-2091038</v>
      </c>
      <c r="F10" s="62">
        <f>SUM(C10:E10)</f>
        <v>52848354</v>
      </c>
    </row>
    <row r="12" spans="2:6">
      <c r="B12" s="193" t="s">
        <v>235</v>
      </c>
      <c r="C12" s="187"/>
      <c r="D12" s="187"/>
      <c r="E12" s="187"/>
      <c r="F12" s="187"/>
    </row>
    <row r="13" spans="2:6">
      <c r="B13" s="482" t="s">
        <v>184</v>
      </c>
      <c r="C13" s="482"/>
      <c r="D13" s="482"/>
      <c r="E13" s="482"/>
      <c r="F13" s="482"/>
    </row>
    <row r="14" spans="2:6">
      <c r="B14" s="187"/>
      <c r="C14" s="187"/>
      <c r="D14" s="187"/>
      <c r="E14" s="187"/>
      <c r="F14" s="187"/>
    </row>
    <row r="15" spans="2:6">
      <c r="B15" s="488" t="s">
        <v>420</v>
      </c>
      <c r="C15" s="488"/>
      <c r="D15" s="488"/>
      <c r="E15" s="488"/>
      <c r="F15" s="187"/>
    </row>
    <row r="16" spans="2:6" ht="11.7" customHeight="1"/>
    <row r="17" spans="2:6">
      <c r="B17" s="240" t="s">
        <v>362</v>
      </c>
      <c r="C17" s="240" t="s">
        <v>179</v>
      </c>
      <c r="D17" s="240" t="s">
        <v>207</v>
      </c>
    </row>
    <row r="18" spans="2:6">
      <c r="B18" s="44" t="s">
        <v>346</v>
      </c>
      <c r="C18" s="43">
        <v>37318686</v>
      </c>
      <c r="D18" s="43">
        <v>36680244</v>
      </c>
      <c r="E18" s="39"/>
      <c r="F18" s="18"/>
    </row>
    <row r="19" spans="2:6">
      <c r="B19" s="44" t="s">
        <v>347</v>
      </c>
      <c r="C19" s="43">
        <v>46535300</v>
      </c>
      <c r="D19" s="43">
        <v>63028115</v>
      </c>
      <c r="E19" s="39"/>
      <c r="F19" s="18"/>
    </row>
    <row r="20" spans="2:6">
      <c r="B20" s="44" t="s">
        <v>348</v>
      </c>
      <c r="C20" s="43">
        <v>2771967</v>
      </c>
      <c r="D20" s="43">
        <v>0</v>
      </c>
      <c r="E20" s="39"/>
      <c r="F20" s="18"/>
    </row>
    <row r="21" spans="2:6">
      <c r="B21" s="44" t="s">
        <v>327</v>
      </c>
      <c r="C21" s="43">
        <v>0</v>
      </c>
      <c r="D21" s="43">
        <v>468416</v>
      </c>
      <c r="E21" s="39"/>
      <c r="F21" s="18"/>
    </row>
    <row r="22" spans="2:6" s="50" customFormat="1">
      <c r="B22" s="44" t="s">
        <v>751</v>
      </c>
      <c r="C22" s="43">
        <v>41406000</v>
      </c>
      <c r="D22" s="43">
        <v>0</v>
      </c>
      <c r="E22" s="39"/>
      <c r="F22" s="18"/>
    </row>
    <row r="23" spans="2:6" s="50" customFormat="1">
      <c r="B23" s="44" t="s">
        <v>637</v>
      </c>
      <c r="C23" s="43">
        <v>9338266</v>
      </c>
      <c r="D23" s="43">
        <v>6186970</v>
      </c>
      <c r="E23" s="39"/>
      <c r="F23" s="18"/>
    </row>
    <row r="24" spans="2:6" s="50" customFormat="1">
      <c r="B24" s="44" t="s">
        <v>638</v>
      </c>
      <c r="C24" s="43">
        <v>0</v>
      </c>
      <c r="D24" s="43">
        <v>20312918</v>
      </c>
      <c r="E24" s="39"/>
      <c r="F24" s="18"/>
    </row>
    <row r="25" spans="2:6" s="50" customFormat="1">
      <c r="B25" s="44" t="s">
        <v>768</v>
      </c>
      <c r="C25" s="43">
        <v>7085547</v>
      </c>
      <c r="D25" s="43">
        <v>0</v>
      </c>
      <c r="E25" s="39"/>
      <c r="F25" s="18"/>
    </row>
    <row r="26" spans="2:6">
      <c r="B26" s="44" t="s">
        <v>384</v>
      </c>
      <c r="C26" s="43">
        <v>2227270</v>
      </c>
      <c r="D26" s="43">
        <v>318180</v>
      </c>
      <c r="E26" s="39"/>
      <c r="F26" s="18"/>
    </row>
    <row r="27" spans="2:6">
      <c r="B27" s="46" t="s">
        <v>208</v>
      </c>
      <c r="C27" s="47">
        <f>SUM(C18:C26)</f>
        <v>146683036</v>
      </c>
      <c r="D27" s="51">
        <f>SUM(D18:D26)</f>
        <v>126994843</v>
      </c>
      <c r="F27" s="13"/>
    </row>
    <row r="29" spans="2:6" s="50" customFormat="1">
      <c r="B29" s="488" t="s">
        <v>639</v>
      </c>
      <c r="C29" s="488"/>
      <c r="D29" s="488"/>
      <c r="E29" s="488"/>
      <c r="F29" s="187"/>
    </row>
    <row r="30" spans="2:6" s="50" customFormat="1" ht="11.7" customHeight="1"/>
    <row r="31" spans="2:6" s="50" customFormat="1">
      <c r="B31" s="241" t="s">
        <v>362</v>
      </c>
      <c r="C31" s="241" t="s">
        <v>179</v>
      </c>
      <c r="D31" s="241" t="s">
        <v>207</v>
      </c>
    </row>
    <row r="32" spans="2:6" s="50" customFormat="1">
      <c r="B32" s="44" t="s">
        <v>641</v>
      </c>
      <c r="C32" s="43">
        <v>311618073</v>
      </c>
      <c r="D32" s="43">
        <v>311618073</v>
      </c>
      <c r="E32" s="39"/>
      <c r="F32" s="18"/>
    </row>
    <row r="33" spans="2:6" s="50" customFormat="1">
      <c r="B33" s="44"/>
      <c r="C33" s="43"/>
      <c r="D33" s="43">
        <v>0</v>
      </c>
      <c r="E33" s="39"/>
      <c r="F33" s="18"/>
    </row>
    <row r="34" spans="2:6" s="50" customFormat="1">
      <c r="B34" s="46" t="s">
        <v>208</v>
      </c>
      <c r="C34" s="47">
        <f>SUM(C32:C33)</f>
        <v>311618073</v>
      </c>
      <c r="D34" s="51">
        <f>SUM(D32:D33)</f>
        <v>311618073</v>
      </c>
      <c r="F34" s="13"/>
    </row>
    <row r="35" spans="2:6" s="50" customFormat="1">
      <c r="B35" s="301"/>
      <c r="C35" s="302"/>
      <c r="D35" s="303"/>
      <c r="F35" s="13"/>
    </row>
    <row r="36" spans="2:6">
      <c r="B36" s="193" t="s">
        <v>236</v>
      </c>
      <c r="C36" s="187"/>
      <c r="D36" s="187"/>
    </row>
    <row r="37" spans="2:6">
      <c r="B37" s="496" t="s">
        <v>184</v>
      </c>
      <c r="C37" s="496"/>
      <c r="D37" s="496"/>
    </row>
    <row r="38" spans="2:6">
      <c r="B38" s="186"/>
      <c r="C38" s="187"/>
      <c r="D38" s="187"/>
    </row>
    <row r="39" spans="2:6">
      <c r="B39" s="186" t="s">
        <v>421</v>
      </c>
      <c r="C39" s="187"/>
      <c r="D39" s="187"/>
    </row>
    <row r="40" spans="2:6" ht="16.2" customHeight="1">
      <c r="B40" s="234" t="s">
        <v>237</v>
      </c>
      <c r="C40" s="233" t="s">
        <v>238</v>
      </c>
      <c r="D40" s="234" t="s">
        <v>239</v>
      </c>
    </row>
    <row r="41" spans="2:6">
      <c r="B41" s="69" t="s">
        <v>642</v>
      </c>
      <c r="C41" s="68">
        <v>0</v>
      </c>
      <c r="D41" s="68">
        <v>123076920</v>
      </c>
    </row>
    <row r="42" spans="2:6">
      <c r="B42" s="71" t="s">
        <v>208</v>
      </c>
      <c r="C42" s="74">
        <f>+C41</f>
        <v>0</v>
      </c>
      <c r="D42" s="74">
        <f>+D41</f>
        <v>123076920</v>
      </c>
    </row>
    <row r="44" spans="2:6">
      <c r="B44" s="207" t="s">
        <v>422</v>
      </c>
      <c r="C44" s="161"/>
      <c r="D44" s="161"/>
    </row>
    <row r="45" spans="2:6">
      <c r="B45" s="234" t="s">
        <v>240</v>
      </c>
      <c r="C45" s="235" t="s">
        <v>238</v>
      </c>
      <c r="D45" s="234" t="s">
        <v>239</v>
      </c>
    </row>
    <row r="46" spans="2:6">
      <c r="B46" s="69" t="s">
        <v>642</v>
      </c>
      <c r="C46" s="163">
        <v>0</v>
      </c>
      <c r="D46" s="163">
        <v>26877013</v>
      </c>
    </row>
    <row r="47" spans="2:6">
      <c r="B47" s="164" t="s">
        <v>208</v>
      </c>
      <c r="C47" s="165">
        <f>+C46</f>
        <v>0</v>
      </c>
      <c r="D47" s="166">
        <f>+D46</f>
        <v>26877013</v>
      </c>
    </row>
    <row r="49" spans="2:6">
      <c r="B49" s="186" t="s">
        <v>423</v>
      </c>
    </row>
    <row r="50" spans="2:6">
      <c r="B50" s="234" t="s">
        <v>241</v>
      </c>
      <c r="C50" s="233" t="s">
        <v>238</v>
      </c>
      <c r="D50" s="234" t="s">
        <v>239</v>
      </c>
    </row>
    <row r="51" spans="2:6">
      <c r="B51" s="69" t="s">
        <v>389</v>
      </c>
      <c r="C51" s="63"/>
      <c r="D51" s="77"/>
    </row>
    <row r="52" spans="2:6">
      <c r="B52" s="71" t="s">
        <v>208</v>
      </c>
      <c r="C52" s="76" t="s">
        <v>137</v>
      </c>
      <c r="D52" s="78" t="s">
        <v>137</v>
      </c>
    </row>
    <row r="54" spans="2:6">
      <c r="B54" s="186" t="s">
        <v>424</v>
      </c>
    </row>
    <row r="55" spans="2:6">
      <c r="B55" s="234" t="s">
        <v>237</v>
      </c>
      <c r="C55" s="233" t="s">
        <v>238</v>
      </c>
      <c r="D55" s="234" t="s">
        <v>239</v>
      </c>
    </row>
    <row r="56" spans="2:6">
      <c r="B56" s="69" t="s">
        <v>642</v>
      </c>
      <c r="C56" s="68">
        <v>0</v>
      </c>
      <c r="D56" s="68">
        <v>76923080</v>
      </c>
    </row>
    <row r="57" spans="2:6">
      <c r="B57" s="71" t="s">
        <v>208</v>
      </c>
      <c r="C57" s="74">
        <f>+C56</f>
        <v>0</v>
      </c>
      <c r="D57" s="75">
        <f>+D56</f>
        <v>76923080</v>
      </c>
    </row>
    <row r="60" spans="2:6">
      <c r="B60" s="488" t="s">
        <v>242</v>
      </c>
      <c r="C60" s="488"/>
      <c r="D60" s="488"/>
      <c r="E60" s="187"/>
    </row>
    <row r="61" spans="2:6" ht="15" thickBot="1">
      <c r="B61" s="496" t="s">
        <v>184</v>
      </c>
      <c r="C61" s="496"/>
      <c r="D61" s="496"/>
      <c r="E61" s="496"/>
      <c r="F61" s="15"/>
    </row>
    <row r="62" spans="2:6">
      <c r="B62" s="237" t="s">
        <v>171</v>
      </c>
      <c r="C62" s="238" t="s">
        <v>179</v>
      </c>
      <c r="D62" s="238" t="s">
        <v>243</v>
      </c>
      <c r="F62" s="15"/>
    </row>
    <row r="63" spans="2:6">
      <c r="B63" s="69" t="s">
        <v>643</v>
      </c>
      <c r="C63" s="49">
        <v>1080000</v>
      </c>
      <c r="D63" s="49">
        <v>1440000</v>
      </c>
      <c r="F63" s="19"/>
    </row>
    <row r="64" spans="2:6" s="50" customFormat="1">
      <c r="B64" s="69" t="s">
        <v>769</v>
      </c>
      <c r="C64" s="49">
        <v>50985886</v>
      </c>
      <c r="D64" s="49">
        <v>0</v>
      </c>
      <c r="F64" s="19"/>
    </row>
    <row r="65" spans="2:6" s="50" customFormat="1">
      <c r="B65" s="69" t="s">
        <v>653</v>
      </c>
      <c r="C65" s="49">
        <v>0</v>
      </c>
      <c r="D65" s="49">
        <v>0</v>
      </c>
      <c r="F65" s="19"/>
    </row>
    <row r="66" spans="2:6" s="50" customFormat="1">
      <c r="B66" s="69" t="s">
        <v>654</v>
      </c>
      <c r="C66" s="49">
        <v>0</v>
      </c>
      <c r="D66" s="49">
        <v>0</v>
      </c>
      <c r="F66" s="19"/>
    </row>
    <row r="67" spans="2:6" s="50" customFormat="1">
      <c r="B67" s="69" t="s">
        <v>655</v>
      </c>
      <c r="C67" s="49">
        <v>0</v>
      </c>
      <c r="D67" s="49">
        <v>0</v>
      </c>
      <c r="F67" s="19"/>
    </row>
    <row r="68" spans="2:6" s="50" customFormat="1">
      <c r="B68" s="69" t="s">
        <v>656</v>
      </c>
      <c r="C68" s="49">
        <v>0</v>
      </c>
      <c r="D68" s="49">
        <v>0</v>
      </c>
      <c r="F68" s="19"/>
    </row>
    <row r="69" spans="2:6" s="50" customFormat="1">
      <c r="B69" s="69" t="s">
        <v>746</v>
      </c>
      <c r="C69" s="49">
        <v>0</v>
      </c>
      <c r="D69" s="49"/>
      <c r="F69" s="19"/>
    </row>
    <row r="70" spans="2:6" s="50" customFormat="1">
      <c r="B70" s="69" t="s">
        <v>657</v>
      </c>
      <c r="C70" s="49">
        <v>0</v>
      </c>
      <c r="D70" s="49">
        <v>0</v>
      </c>
      <c r="F70" s="19"/>
    </row>
    <row r="71" spans="2:6" s="50" customFormat="1">
      <c r="B71" s="69" t="s">
        <v>747</v>
      </c>
      <c r="C71" s="49">
        <v>0</v>
      </c>
      <c r="D71" s="49"/>
      <c r="F71" s="19"/>
    </row>
    <row r="72" spans="2:6" s="50" customFormat="1">
      <c r="B72" s="69" t="s">
        <v>658</v>
      </c>
      <c r="C72" s="49">
        <v>0</v>
      </c>
      <c r="D72" s="49">
        <v>0</v>
      </c>
      <c r="F72" s="19"/>
    </row>
    <row r="73" spans="2:6" s="50" customFormat="1">
      <c r="B73" s="69" t="s">
        <v>659</v>
      </c>
      <c r="C73" s="49">
        <v>0</v>
      </c>
      <c r="D73" s="49">
        <v>0</v>
      </c>
      <c r="F73" s="19"/>
    </row>
    <row r="74" spans="2:6" s="50" customFormat="1">
      <c r="B74" s="69" t="s">
        <v>661</v>
      </c>
      <c r="C74" s="49">
        <v>0</v>
      </c>
      <c r="D74" s="49">
        <v>0</v>
      </c>
      <c r="F74" s="19"/>
    </row>
    <row r="75" spans="2:6" s="50" customFormat="1">
      <c r="B75" s="69" t="s">
        <v>744</v>
      </c>
      <c r="C75" s="49">
        <v>0</v>
      </c>
      <c r="D75" s="49"/>
      <c r="F75" s="19"/>
    </row>
    <row r="76" spans="2:6" s="50" customFormat="1">
      <c r="B76" s="69" t="s">
        <v>745</v>
      </c>
      <c r="C76" s="49">
        <v>1400000</v>
      </c>
      <c r="D76" s="49"/>
      <c r="F76" s="19"/>
    </row>
    <row r="77" spans="2:6" s="50" customFormat="1">
      <c r="B77" s="69" t="s">
        <v>662</v>
      </c>
      <c r="C77" s="49">
        <v>0</v>
      </c>
      <c r="D77" s="49">
        <v>0</v>
      </c>
      <c r="F77" s="19"/>
    </row>
    <row r="78" spans="2:6" s="50" customFormat="1">
      <c r="B78" s="69" t="s">
        <v>770</v>
      </c>
      <c r="C78" s="49">
        <v>1000000</v>
      </c>
      <c r="D78" s="49"/>
      <c r="F78" s="19"/>
    </row>
    <row r="79" spans="2:6">
      <c r="B79" s="69" t="s">
        <v>644</v>
      </c>
      <c r="C79" s="49">
        <v>0</v>
      </c>
      <c r="D79" s="49">
        <v>40000</v>
      </c>
      <c r="F79" s="19"/>
    </row>
    <row r="80" spans="2:6">
      <c r="B80" s="69" t="s">
        <v>645</v>
      </c>
      <c r="C80" s="49">
        <v>0</v>
      </c>
      <c r="D80" s="49">
        <v>4554660</v>
      </c>
      <c r="F80" s="19"/>
    </row>
    <row r="81" spans="2:6" s="50" customFormat="1">
      <c r="B81" s="69" t="s">
        <v>646</v>
      </c>
      <c r="C81" s="49">
        <v>0</v>
      </c>
      <c r="D81" s="49">
        <v>99000</v>
      </c>
      <c r="F81" s="19"/>
    </row>
    <row r="82" spans="2:6" s="50" customFormat="1">
      <c r="B82" s="69" t="s">
        <v>647</v>
      </c>
      <c r="C82" s="49">
        <v>117009</v>
      </c>
      <c r="D82" s="49">
        <v>97886</v>
      </c>
      <c r="F82" s="19"/>
    </row>
    <row r="83" spans="2:6" s="50" customFormat="1">
      <c r="B83" s="69" t="s">
        <v>648</v>
      </c>
      <c r="C83" s="49">
        <v>0</v>
      </c>
      <c r="D83" s="49">
        <v>60078</v>
      </c>
      <c r="F83" s="19"/>
    </row>
    <row r="84" spans="2:6" s="50" customFormat="1">
      <c r="B84" s="69" t="s">
        <v>649</v>
      </c>
      <c r="C84" s="49">
        <v>216425</v>
      </c>
      <c r="D84" s="49">
        <v>96800</v>
      </c>
      <c r="F84" s="19"/>
    </row>
    <row r="85" spans="2:6" s="50" customFormat="1">
      <c r="B85" s="69" t="s">
        <v>650</v>
      </c>
      <c r="C85" s="49">
        <v>3777385</v>
      </c>
      <c r="D85" s="49">
        <v>3777385</v>
      </c>
      <c r="F85" s="19"/>
    </row>
    <row r="86" spans="2:6" s="50" customFormat="1">
      <c r="B86" s="69" t="s">
        <v>651</v>
      </c>
      <c r="C86" s="49">
        <v>0</v>
      </c>
      <c r="D86" s="49">
        <v>150000</v>
      </c>
      <c r="F86" s="19"/>
    </row>
    <row r="87" spans="2:6">
      <c r="B87" s="69" t="s">
        <v>652</v>
      </c>
      <c r="C87" s="49">
        <v>0</v>
      </c>
      <c r="D87" s="49">
        <v>0</v>
      </c>
      <c r="F87" s="19"/>
    </row>
    <row r="88" spans="2:6">
      <c r="B88" s="71" t="s">
        <v>208</v>
      </c>
      <c r="C88" s="75">
        <f>SUM(C63:C87)</f>
        <v>58576705</v>
      </c>
      <c r="D88" s="75">
        <f>SUM(D63:D87)</f>
        <v>10315809</v>
      </c>
      <c r="E88" s="23"/>
      <c r="F88" s="20"/>
    </row>
    <row r="90" spans="2:6">
      <c r="B90" s="193" t="s">
        <v>425</v>
      </c>
    </row>
    <row r="91" spans="2:6">
      <c r="B91" s="234" t="s">
        <v>171</v>
      </c>
      <c r="C91" s="234" t="s">
        <v>179</v>
      </c>
      <c r="D91" s="234" t="s">
        <v>243</v>
      </c>
    </row>
    <row r="92" spans="2:6">
      <c r="B92" s="69" t="s">
        <v>244</v>
      </c>
      <c r="C92" s="48">
        <v>28231285</v>
      </c>
      <c r="D92" s="48">
        <v>22985175.989999995</v>
      </c>
    </row>
    <row r="93" spans="2:6">
      <c r="B93" s="71" t="s">
        <v>208</v>
      </c>
      <c r="C93" s="75">
        <f>+C92</f>
        <v>28231285</v>
      </c>
      <c r="D93" s="75">
        <f>+D92</f>
        <v>22985175.989999995</v>
      </c>
      <c r="E93" s="23"/>
      <c r="F93" s="23"/>
    </row>
    <row r="95" spans="2:6">
      <c r="C95" s="23"/>
    </row>
  </sheetData>
  <mergeCells count="7">
    <mergeCell ref="B61:E61"/>
    <mergeCell ref="B6:B7"/>
    <mergeCell ref="B13:F13"/>
    <mergeCell ref="B15:E15"/>
    <mergeCell ref="B37:D37"/>
    <mergeCell ref="B60:D60"/>
    <mergeCell ref="B29:E29"/>
  </mergeCells>
  <conditionalFormatting sqref="B63:B87">
    <cfRule type="duplicateValues" dxfId="0" priority="1"/>
  </conditionalFormatting>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3:I78"/>
  <sheetViews>
    <sheetView showGridLines="0" tabSelected="1" topLeftCell="A3" zoomScaleNormal="100" workbookViewId="0">
      <selection activeCell="C18" sqref="C18"/>
    </sheetView>
  </sheetViews>
  <sheetFormatPr baseColWidth="10" defaultColWidth="11.44140625" defaultRowHeight="14.4"/>
  <cols>
    <col min="1" max="1" width="5.44140625" style="21" customWidth="1"/>
    <col min="2" max="2" width="68.44140625" style="21" bestFit="1" customWidth="1"/>
    <col min="3" max="3" width="17.6640625" style="21" bestFit="1" customWidth="1"/>
    <col min="4" max="4" width="19.33203125" style="21" bestFit="1" customWidth="1"/>
    <col min="5" max="5" width="11.44140625" style="21"/>
    <col min="6" max="6" width="16.88671875" style="21" bestFit="1" customWidth="1"/>
    <col min="7" max="7" width="22.33203125" style="21" customWidth="1"/>
    <col min="8" max="16384" width="11.44140625" style="21"/>
  </cols>
  <sheetData>
    <row r="3" spans="2:6">
      <c r="B3" s="502" t="s">
        <v>245</v>
      </c>
      <c r="C3" s="502"/>
      <c r="D3" s="502"/>
      <c r="E3" s="502"/>
    </row>
    <row r="4" spans="2:6" ht="15" thickBot="1">
      <c r="B4" s="227"/>
      <c r="C4" s="227"/>
      <c r="D4" s="227"/>
      <c r="E4" s="200"/>
    </row>
    <row r="5" spans="2:6" s="50" customFormat="1">
      <c r="B5" s="306" t="s">
        <v>171</v>
      </c>
      <c r="C5" s="307" t="s">
        <v>179</v>
      </c>
      <c r="D5" s="308" t="s">
        <v>243</v>
      </c>
      <c r="F5" s="15"/>
    </row>
    <row r="6" spans="2:6">
      <c r="B6" s="309" t="s">
        <v>728</v>
      </c>
      <c r="C6" s="305">
        <v>514215316</v>
      </c>
      <c r="D6" s="305">
        <v>200275916</v>
      </c>
      <c r="E6" s="400"/>
      <c r="F6" s="22"/>
    </row>
    <row r="7" spans="2:6">
      <c r="B7" s="309" t="s">
        <v>729</v>
      </c>
      <c r="C7" s="305">
        <v>6839610</v>
      </c>
      <c r="D7" s="305">
        <v>6839610</v>
      </c>
      <c r="E7" s="400"/>
      <c r="F7" s="22"/>
    </row>
    <row r="8" spans="2:6">
      <c r="B8" s="309" t="s">
        <v>730</v>
      </c>
      <c r="C8" s="305">
        <v>224477676</v>
      </c>
      <c r="D8" s="305">
        <v>224477676</v>
      </c>
      <c r="E8" s="400"/>
      <c r="F8" s="22"/>
    </row>
    <row r="9" spans="2:6">
      <c r="B9" s="309" t="s">
        <v>731</v>
      </c>
      <c r="C9" s="314">
        <v>29546672</v>
      </c>
      <c r="D9" s="314">
        <v>29546672</v>
      </c>
      <c r="E9" s="400"/>
      <c r="F9" s="22"/>
    </row>
    <row r="10" spans="2:6" ht="15" thickBot="1">
      <c r="B10" s="311"/>
      <c r="C10" s="312">
        <f>SUM(C6:C9)</f>
        <v>775079274</v>
      </c>
      <c r="D10" s="313">
        <f>SUM(D6:D9)</f>
        <v>461139874</v>
      </c>
      <c r="F10" s="22"/>
    </row>
    <row r="11" spans="2:6">
      <c r="B11" s="200"/>
      <c r="C11" s="201"/>
      <c r="D11" s="201"/>
      <c r="E11" s="201"/>
    </row>
    <row r="12" spans="2:6">
      <c r="B12" s="200"/>
      <c r="C12" s="200"/>
      <c r="D12" s="200"/>
      <c r="E12" s="200"/>
    </row>
    <row r="13" spans="2:6">
      <c r="B13" s="503" t="s">
        <v>416</v>
      </c>
      <c r="C13" s="503"/>
      <c r="D13" s="503"/>
      <c r="E13" s="200"/>
    </row>
    <row r="14" spans="2:6" ht="15" thickBot="1">
      <c r="B14" s="227"/>
      <c r="C14" s="227"/>
      <c r="D14" s="227"/>
      <c r="E14" s="200"/>
    </row>
    <row r="15" spans="2:6" s="50" customFormat="1">
      <c r="B15" s="306" t="s">
        <v>171</v>
      </c>
      <c r="C15" s="307" t="s">
        <v>179</v>
      </c>
      <c r="D15" s="308" t="s">
        <v>243</v>
      </c>
      <c r="F15" s="15"/>
    </row>
    <row r="16" spans="2:6">
      <c r="B16" s="309" t="s">
        <v>610</v>
      </c>
      <c r="C16" s="305">
        <v>0</v>
      </c>
      <c r="D16" s="305">
        <v>11261397</v>
      </c>
      <c r="F16" s="22"/>
    </row>
    <row r="17" spans="2:6">
      <c r="B17" s="309" t="s">
        <v>660</v>
      </c>
      <c r="C17" s="305">
        <v>0</v>
      </c>
      <c r="D17" s="310">
        <v>0</v>
      </c>
      <c r="F17" s="22"/>
    </row>
    <row r="18" spans="2:6" ht="15" thickBot="1">
      <c r="B18" s="311"/>
      <c r="C18" s="312">
        <f>SUM(C16:C17)</f>
        <v>0</v>
      </c>
      <c r="D18" s="313">
        <f>SUM(D16:D17)</f>
        <v>11261397</v>
      </c>
      <c r="F18" s="22"/>
    </row>
    <row r="19" spans="2:6">
      <c r="B19" s="304"/>
      <c r="C19" s="337"/>
      <c r="D19" s="337"/>
      <c r="F19" s="22"/>
    </row>
    <row r="20" spans="2:6" ht="15" thickBot="1">
      <c r="B20" s="304" t="s">
        <v>668</v>
      </c>
      <c r="C20" s="337"/>
      <c r="D20" s="337"/>
      <c r="F20" s="22"/>
    </row>
    <row r="21" spans="2:6" s="50" customFormat="1">
      <c r="B21" s="306" t="s">
        <v>171</v>
      </c>
      <c r="C21" s="307" t="s">
        <v>179</v>
      </c>
      <c r="D21" s="308" t="s">
        <v>243</v>
      </c>
      <c r="F21" s="15"/>
    </row>
    <row r="22" spans="2:6">
      <c r="B22" s="340" t="s">
        <v>776</v>
      </c>
      <c r="C22" s="412">
        <v>25620000</v>
      </c>
      <c r="D22" s="414">
        <v>0</v>
      </c>
      <c r="F22" s="22"/>
    </row>
    <row r="23" spans="2:6">
      <c r="B23" s="340" t="s">
        <v>673</v>
      </c>
      <c r="C23" s="412">
        <v>0</v>
      </c>
      <c r="D23" s="414">
        <v>-449132</v>
      </c>
      <c r="F23" s="22"/>
    </row>
    <row r="24" spans="2:6">
      <c r="B24" s="340" t="s">
        <v>773</v>
      </c>
      <c r="C24" s="412">
        <v>6994781</v>
      </c>
      <c r="D24" s="414">
        <v>0</v>
      </c>
      <c r="F24" s="22"/>
    </row>
    <row r="25" spans="2:6">
      <c r="B25" s="340" t="s">
        <v>674</v>
      </c>
      <c r="C25" s="413">
        <v>12019938</v>
      </c>
      <c r="D25" s="415">
        <v>12019938</v>
      </c>
      <c r="F25" s="22"/>
    </row>
    <row r="26" spans="2:6">
      <c r="B26" s="416" t="s">
        <v>772</v>
      </c>
      <c r="C26" s="413">
        <v>22680000</v>
      </c>
      <c r="D26" s="415"/>
      <c r="F26" s="22"/>
    </row>
    <row r="27" spans="2:6">
      <c r="B27" s="340" t="s">
        <v>775</v>
      </c>
      <c r="C27" s="412">
        <v>14000000</v>
      </c>
      <c r="D27" s="414">
        <v>0</v>
      </c>
      <c r="F27" s="22"/>
    </row>
    <row r="28" spans="2:6">
      <c r="B28" s="340" t="s">
        <v>684</v>
      </c>
      <c r="C28" s="412">
        <f>6994781</f>
        <v>6994781</v>
      </c>
      <c r="D28" s="414">
        <v>-449132</v>
      </c>
      <c r="F28" s="22"/>
    </row>
    <row r="29" spans="2:6">
      <c r="B29" s="340" t="s">
        <v>774</v>
      </c>
      <c r="C29" s="412">
        <v>14000000</v>
      </c>
      <c r="D29" s="414">
        <v>0</v>
      </c>
      <c r="F29" s="22"/>
    </row>
    <row r="30" spans="2:6">
      <c r="B30" s="340" t="s">
        <v>777</v>
      </c>
      <c r="C30" s="412">
        <v>21741042</v>
      </c>
      <c r="D30" s="414">
        <v>0</v>
      </c>
      <c r="F30" s="22"/>
    </row>
    <row r="31" spans="2:6">
      <c r="B31" s="340" t="s">
        <v>675</v>
      </c>
      <c r="C31" s="412">
        <v>0</v>
      </c>
      <c r="D31" s="414">
        <v>0</v>
      </c>
      <c r="F31" s="22"/>
    </row>
    <row r="32" spans="2:6">
      <c r="B32" s="411" t="s">
        <v>676</v>
      </c>
      <c r="C32" s="412">
        <v>0</v>
      </c>
      <c r="D32" s="414">
        <v>0</v>
      </c>
      <c r="F32" s="22"/>
    </row>
    <row r="33" spans="2:6" ht="15" thickBot="1">
      <c r="B33" s="311"/>
      <c r="C33" s="312">
        <f>SUM(C22:C32)</f>
        <v>124050542</v>
      </c>
      <c r="D33" s="313">
        <f>SUM(D22:D32)</f>
        <v>11121674</v>
      </c>
      <c r="F33" s="22"/>
    </row>
    <row r="34" spans="2:6">
      <c r="B34" s="202"/>
      <c r="C34" s="203"/>
      <c r="D34" s="203"/>
      <c r="E34" s="200"/>
    </row>
    <row r="35" spans="2:6">
      <c r="B35" s="188" t="s">
        <v>246</v>
      </c>
      <c r="C35" s="200"/>
      <c r="D35" s="200"/>
      <c r="E35" s="200"/>
    </row>
    <row r="36" spans="2:6">
      <c r="B36" s="200" t="s">
        <v>391</v>
      </c>
      <c r="C36" s="200"/>
      <c r="D36" s="200"/>
      <c r="E36" s="200"/>
    </row>
    <row r="37" spans="2:6">
      <c r="B37" s="200"/>
      <c r="C37" s="200"/>
      <c r="D37" s="200"/>
      <c r="E37" s="200"/>
    </row>
    <row r="38" spans="2:6">
      <c r="B38" s="502" t="s">
        <v>247</v>
      </c>
      <c r="C38" s="502"/>
      <c r="D38" s="200"/>
      <c r="E38" s="200"/>
    </row>
    <row r="39" spans="2:6">
      <c r="B39" s="201"/>
      <c r="C39" s="201"/>
      <c r="D39" s="200"/>
      <c r="E39" s="200"/>
    </row>
    <row r="40" spans="2:6" s="50" customFormat="1" ht="15" thickBot="1">
      <c r="B40" s="496" t="s">
        <v>184</v>
      </c>
      <c r="C40" s="496"/>
      <c r="D40" s="496"/>
      <c r="E40" s="496"/>
      <c r="F40" s="15"/>
    </row>
    <row r="41" spans="2:6" s="50" customFormat="1">
      <c r="B41" s="237" t="s">
        <v>171</v>
      </c>
      <c r="C41" s="238" t="s">
        <v>179</v>
      </c>
      <c r="D41" s="238" t="s">
        <v>243</v>
      </c>
      <c r="F41" s="15"/>
    </row>
    <row r="42" spans="2:6" s="50" customFormat="1">
      <c r="B42" s="69" t="s">
        <v>752</v>
      </c>
      <c r="C42" s="49">
        <v>14451670</v>
      </c>
      <c r="D42" s="49">
        <f>+'Balance General'!G22</f>
        <v>5043956</v>
      </c>
      <c r="F42" s="19"/>
    </row>
    <row r="43" spans="2:6" s="50" customFormat="1">
      <c r="B43" s="69" t="s">
        <v>753</v>
      </c>
      <c r="C43" s="49">
        <v>988228</v>
      </c>
      <c r="D43" s="49">
        <f>+'Balance General'!G26</f>
        <v>11121674</v>
      </c>
      <c r="F43" s="19"/>
    </row>
    <row r="44" spans="2:6" s="50" customFormat="1">
      <c r="B44" s="69" t="s">
        <v>771</v>
      </c>
      <c r="C44" s="49">
        <v>503866</v>
      </c>
      <c r="D44" s="70">
        <v>0</v>
      </c>
      <c r="F44" s="19"/>
    </row>
    <row r="45" spans="2:6" s="50" customFormat="1">
      <c r="B45" s="71" t="s">
        <v>208</v>
      </c>
      <c r="C45" s="75">
        <f>SUM(C42:C44)</f>
        <v>15943764</v>
      </c>
      <c r="D45" s="75">
        <f>SUM(D42:D44)</f>
        <v>16165630</v>
      </c>
      <c r="E45" s="23"/>
      <c r="F45" s="20"/>
    </row>
    <row r="46" spans="2:6">
      <c r="B46" s="153"/>
      <c r="C46" s="153"/>
    </row>
    <row r="48" spans="2:6">
      <c r="B48" s="188" t="s">
        <v>249</v>
      </c>
      <c r="C48" s="200"/>
      <c r="D48" s="200"/>
    </row>
    <row r="49" spans="2:9" ht="15" hidden="1" thickBot="1">
      <c r="B49" s="206" t="s">
        <v>417</v>
      </c>
      <c r="C49" s="204"/>
      <c r="D49" s="204"/>
      <c r="F49" s="36"/>
    </row>
    <row r="50" spans="2:9" ht="15" hidden="1" thickBot="1">
      <c r="B50" s="206" t="s">
        <v>418</v>
      </c>
      <c r="C50" s="204"/>
      <c r="D50" s="204"/>
      <c r="F50" s="36"/>
    </row>
    <row r="51" spans="2:9" ht="15" hidden="1" thickBot="1">
      <c r="B51" s="206" t="s">
        <v>419</v>
      </c>
      <c r="C51" s="204"/>
      <c r="D51" s="204"/>
      <c r="F51" s="36"/>
    </row>
    <row r="52" spans="2:9">
      <c r="B52" s="200" t="s">
        <v>391</v>
      </c>
      <c r="C52" s="205"/>
      <c r="D52" s="205"/>
      <c r="F52" s="36"/>
    </row>
    <row r="53" spans="2:9">
      <c r="B53" s="200"/>
      <c r="C53" s="200"/>
      <c r="D53" s="200"/>
    </row>
    <row r="54" spans="2:9">
      <c r="B54" s="504" t="s">
        <v>250</v>
      </c>
      <c r="C54" s="504"/>
      <c r="D54" s="504"/>
    </row>
    <row r="55" spans="2:9">
      <c r="B55" s="189"/>
      <c r="C55" s="200"/>
      <c r="D55" s="200"/>
    </row>
    <row r="56" spans="2:9">
      <c r="B56" s="193" t="s">
        <v>717</v>
      </c>
      <c r="C56" s="187"/>
      <c r="D56" s="187"/>
      <c r="E56" s="50"/>
      <c r="F56" s="391"/>
      <c r="G56" s="354"/>
      <c r="H56" s="37"/>
      <c r="I56" s="37"/>
    </row>
    <row r="57" spans="2:9" ht="15" thickBot="1">
      <c r="B57" s="193"/>
      <c r="C57" s="187"/>
      <c r="D57" s="187"/>
      <c r="E57" s="50"/>
      <c r="F57" s="391"/>
      <c r="G57" s="50"/>
    </row>
    <row r="58" spans="2:9">
      <c r="B58" s="237" t="s">
        <v>718</v>
      </c>
      <c r="C58" s="238" t="s">
        <v>171</v>
      </c>
      <c r="D58" s="238" t="s">
        <v>719</v>
      </c>
      <c r="E58" s="307" t="s">
        <v>179</v>
      </c>
      <c r="F58" s="308" t="s">
        <v>243</v>
      </c>
      <c r="G58" s="50"/>
    </row>
    <row r="59" spans="2:9">
      <c r="B59" s="392" t="s">
        <v>610</v>
      </c>
      <c r="C59" s="69" t="s">
        <v>720</v>
      </c>
      <c r="D59" s="69" t="s">
        <v>405</v>
      </c>
      <c r="E59" s="305">
        <v>0</v>
      </c>
      <c r="F59" s="305">
        <v>11261397</v>
      </c>
      <c r="G59" s="50"/>
    </row>
    <row r="60" spans="2:9" ht="15" thickBot="1">
      <c r="B60" s="393"/>
      <c r="C60" s="71"/>
      <c r="D60" s="71"/>
      <c r="E60" s="394">
        <f>SUM(E59:E59)</f>
        <v>0</v>
      </c>
      <c r="F60" s="395">
        <f>SUM(F59:F59)</f>
        <v>11261397</v>
      </c>
      <c r="G60" s="50"/>
    </row>
    <row r="61" spans="2:9">
      <c r="B61" s="50"/>
      <c r="C61" s="50"/>
      <c r="D61" s="50"/>
      <c r="E61" s="50"/>
      <c r="F61" s="50"/>
      <c r="G61" s="50"/>
    </row>
    <row r="62" spans="2:9">
      <c r="B62" s="8"/>
      <c r="C62" s="50"/>
      <c r="D62" s="50"/>
      <c r="E62" s="50"/>
      <c r="F62" s="391"/>
      <c r="G62" s="50"/>
    </row>
    <row r="63" spans="2:9">
      <c r="B63" s="193" t="s">
        <v>721</v>
      </c>
      <c r="C63" s="396"/>
      <c r="D63" s="397"/>
      <c r="E63" s="50"/>
      <c r="F63" s="391"/>
      <c r="G63" s="50"/>
    </row>
    <row r="64" spans="2:9" ht="15" thickBot="1">
      <c r="B64" s="501" t="s">
        <v>722</v>
      </c>
      <c r="C64" s="501"/>
      <c r="D64" s="501"/>
      <c r="E64" s="501"/>
      <c r="F64" s="501"/>
      <c r="G64" s="50"/>
    </row>
    <row r="65" spans="2:7">
      <c r="B65" s="237" t="s">
        <v>718</v>
      </c>
      <c r="C65" s="238" t="s">
        <v>171</v>
      </c>
      <c r="D65" s="238" t="s">
        <v>719</v>
      </c>
      <c r="E65" s="238" t="s">
        <v>179</v>
      </c>
      <c r="F65" s="238" t="s">
        <v>243</v>
      </c>
      <c r="G65" s="50"/>
    </row>
    <row r="66" spans="2:7">
      <c r="B66" s="69" t="s">
        <v>610</v>
      </c>
      <c r="C66" s="69" t="s">
        <v>723</v>
      </c>
      <c r="D66" s="69" t="s">
        <v>405</v>
      </c>
      <c r="E66" s="49">
        <v>94563</v>
      </c>
      <c r="F66" s="49">
        <v>388388</v>
      </c>
      <c r="G66" s="50"/>
    </row>
    <row r="67" spans="2:7">
      <c r="B67" s="69" t="s">
        <v>611</v>
      </c>
      <c r="C67" s="69" t="s">
        <v>723</v>
      </c>
      <c r="D67" s="69" t="s">
        <v>724</v>
      </c>
      <c r="E67" s="49">
        <v>254294</v>
      </c>
      <c r="F67" s="49">
        <v>136726</v>
      </c>
      <c r="G67" s="50"/>
    </row>
    <row r="68" spans="2:7">
      <c r="B68" s="71" t="s">
        <v>208</v>
      </c>
      <c r="C68" s="71"/>
      <c r="D68" s="71"/>
      <c r="E68" s="75">
        <f>SUM(E66:E67)</f>
        <v>348857</v>
      </c>
      <c r="F68" s="75">
        <f>SUM(F66:F67)</f>
        <v>525114</v>
      </c>
      <c r="G68" s="50"/>
    </row>
    <row r="69" spans="2:7">
      <c r="B69" s="50"/>
      <c r="C69" s="50"/>
      <c r="D69" s="50"/>
      <c r="E69" s="50"/>
      <c r="F69" s="50"/>
      <c r="G69" s="50"/>
    </row>
    <row r="70" spans="2:7" ht="15" thickBot="1">
      <c r="B70" s="501" t="s">
        <v>725</v>
      </c>
      <c r="C70" s="501"/>
      <c r="D70" s="501"/>
      <c r="E70" s="501"/>
      <c r="F70" s="501"/>
      <c r="G70" s="50"/>
    </row>
    <row r="71" spans="2:7">
      <c r="B71" s="237" t="s">
        <v>718</v>
      </c>
      <c r="C71" s="238" t="s">
        <v>171</v>
      </c>
      <c r="D71" s="238" t="s">
        <v>719</v>
      </c>
      <c r="E71" s="238" t="s">
        <v>179</v>
      </c>
      <c r="F71" s="238" t="s">
        <v>243</v>
      </c>
      <c r="G71" s="50"/>
    </row>
    <row r="72" spans="2:7">
      <c r="B72" s="69" t="s">
        <v>610</v>
      </c>
      <c r="C72" s="69" t="s">
        <v>726</v>
      </c>
      <c r="D72" s="69" t="s">
        <v>405</v>
      </c>
      <c r="E72" s="49">
        <v>10909091</v>
      </c>
      <c r="F72" s="49">
        <v>18181820</v>
      </c>
      <c r="G72" s="50"/>
    </row>
    <row r="73" spans="2:7">
      <c r="B73" s="69" t="s">
        <v>610</v>
      </c>
      <c r="C73" s="69" t="s">
        <v>727</v>
      </c>
      <c r="D73" s="69" t="s">
        <v>405</v>
      </c>
      <c r="E73" s="49">
        <v>0</v>
      </c>
      <c r="F73" s="49">
        <v>10237634</v>
      </c>
      <c r="G73" s="50"/>
    </row>
    <row r="74" spans="2:7">
      <c r="B74" s="69" t="s">
        <v>611</v>
      </c>
      <c r="C74" s="69" t="s">
        <v>726</v>
      </c>
      <c r="D74" s="69" t="s">
        <v>724</v>
      </c>
      <c r="E74" s="49">
        <v>18181819</v>
      </c>
      <c r="F74" s="49">
        <v>12727272</v>
      </c>
      <c r="G74" s="50"/>
    </row>
    <row r="75" spans="2:7">
      <c r="B75" s="69"/>
      <c r="C75" s="69"/>
      <c r="D75" s="69"/>
      <c r="E75" s="49"/>
      <c r="F75" s="70"/>
      <c r="G75" s="50"/>
    </row>
    <row r="76" spans="2:7">
      <c r="B76" s="71" t="s">
        <v>208</v>
      </c>
      <c r="C76" s="71"/>
      <c r="D76" s="71"/>
      <c r="E76" s="75">
        <f>SUM(E72:E75)</f>
        <v>29090910</v>
      </c>
      <c r="F76" s="75">
        <f>SUM(F72:F75)</f>
        <v>41146726</v>
      </c>
      <c r="G76" s="50"/>
    </row>
    <row r="77" spans="2:7">
      <c r="B77" s="50"/>
      <c r="C77" s="50"/>
      <c r="D77" s="50"/>
      <c r="E77" s="50"/>
      <c r="F77" s="50"/>
      <c r="G77" s="50"/>
    </row>
    <row r="78" spans="2:7">
      <c r="B78" s="50"/>
      <c r="C78" s="50"/>
      <c r="D78" s="50"/>
      <c r="E78" s="50"/>
      <c r="F78" s="50"/>
      <c r="G78" s="50"/>
    </row>
  </sheetData>
  <mergeCells count="7">
    <mergeCell ref="B64:F64"/>
    <mergeCell ref="B70:F70"/>
    <mergeCell ref="B40:E40"/>
    <mergeCell ref="B3:E3"/>
    <mergeCell ref="B13:D13"/>
    <mergeCell ref="B38:C38"/>
    <mergeCell ref="B54:D54"/>
  </mergeCells>
  <pageMargins left="0.70866141732283472" right="0.70866141732283472" top="1.3385826771653544"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3:G108"/>
  <sheetViews>
    <sheetView showGridLines="0" topLeftCell="A70" zoomScale="102" zoomScaleNormal="102" workbookViewId="0">
      <selection activeCell="C62" sqref="C62"/>
    </sheetView>
  </sheetViews>
  <sheetFormatPr baseColWidth="10" defaultColWidth="11.44140625" defaultRowHeight="13.8"/>
  <cols>
    <col min="1" max="1" width="5.5546875" style="25" customWidth="1"/>
    <col min="2" max="2" width="55.33203125" style="25" bestFit="1" customWidth="1"/>
    <col min="3" max="3" width="19.44140625" style="25" bestFit="1" customWidth="1"/>
    <col min="4" max="4" width="19.6640625" style="25" bestFit="1" customWidth="1"/>
    <col min="5" max="5" width="15.44140625" style="25" customWidth="1"/>
    <col min="6" max="6" width="14.5546875" style="25" customWidth="1"/>
    <col min="7" max="7" width="17.6640625" style="25" bestFit="1" customWidth="1"/>
    <col min="8" max="8" width="19.5546875" style="25" customWidth="1"/>
    <col min="9" max="16384" width="11.44140625" style="25"/>
  </cols>
  <sheetData>
    <row r="3" spans="2:7">
      <c r="B3" s="198" t="s">
        <v>251</v>
      </c>
      <c r="C3" s="198"/>
      <c r="D3" s="198"/>
      <c r="E3" s="198"/>
      <c r="F3" s="195"/>
      <c r="G3" s="24"/>
    </row>
    <row r="4" spans="2:7" ht="14.4" thickBot="1">
      <c r="B4" s="198"/>
      <c r="C4" s="198"/>
      <c r="D4" s="198"/>
      <c r="E4" s="198"/>
      <c r="F4" s="195"/>
      <c r="G4" s="24"/>
    </row>
    <row r="5" spans="2:7" s="50" customFormat="1" ht="14.4">
      <c r="B5" s="237" t="s">
        <v>171</v>
      </c>
      <c r="C5" s="238" t="s">
        <v>179</v>
      </c>
      <c r="D5" s="238" t="s">
        <v>243</v>
      </c>
      <c r="F5" s="15"/>
    </row>
    <row r="6" spans="2:7" s="50" customFormat="1" ht="14.4">
      <c r="B6" s="69" t="s">
        <v>672</v>
      </c>
      <c r="C6" s="49"/>
      <c r="D6" s="70"/>
      <c r="F6" s="19"/>
    </row>
    <row r="7" spans="2:7" s="50" customFormat="1" ht="14.4">
      <c r="B7" s="71" t="s">
        <v>208</v>
      </c>
      <c r="C7" s="75">
        <f>SUM(C6:C6)</f>
        <v>0</v>
      </c>
      <c r="D7" s="75">
        <f>SUM(D6:D6)</f>
        <v>0</v>
      </c>
      <c r="E7" s="23"/>
      <c r="F7" s="20"/>
    </row>
    <row r="8" spans="2:7">
      <c r="B8" s="505"/>
      <c r="C8" s="505"/>
      <c r="D8" s="505"/>
      <c r="E8" s="505"/>
      <c r="F8" s="187"/>
    </row>
    <row r="9" spans="2:7">
      <c r="B9" s="187"/>
      <c r="C9" s="199"/>
      <c r="D9" s="187"/>
      <c r="E9" s="187"/>
      <c r="F9" s="187"/>
    </row>
    <row r="10" spans="2:7">
      <c r="B10" s="488" t="s">
        <v>252</v>
      </c>
      <c r="C10" s="488"/>
      <c r="D10" s="488"/>
      <c r="E10" s="488"/>
      <c r="F10" s="488"/>
    </row>
    <row r="11" spans="2:7" ht="30" customHeight="1">
      <c r="B11" s="348" t="s">
        <v>171</v>
      </c>
      <c r="C11" s="348" t="s">
        <v>253</v>
      </c>
      <c r="D11" s="348" t="s">
        <v>230</v>
      </c>
      <c r="E11" s="348" t="s">
        <v>254</v>
      </c>
      <c r="F11" s="348" t="s">
        <v>255</v>
      </c>
    </row>
    <row r="12" spans="2:7">
      <c r="B12" s="347" t="s">
        <v>41</v>
      </c>
      <c r="C12" s="344">
        <v>3332300000</v>
      </c>
      <c r="D12" s="344">
        <v>0</v>
      </c>
      <c r="E12" s="344">
        <v>0</v>
      </c>
      <c r="F12" s="344">
        <f>SUM(C12:E12)</f>
        <v>3332300000</v>
      </c>
      <c r="G12" s="26"/>
    </row>
    <row r="13" spans="2:7">
      <c r="B13" s="347" t="s">
        <v>698</v>
      </c>
      <c r="C13" s="344">
        <v>700000000</v>
      </c>
      <c r="D13" s="344">
        <v>0</v>
      </c>
      <c r="E13" s="344">
        <v>0</v>
      </c>
      <c r="F13" s="344">
        <f t="shared" ref="F13:F18" si="0">SUM(C13:E13)</f>
        <v>700000000</v>
      </c>
      <c r="G13" s="26"/>
    </row>
    <row r="14" spans="2:7">
      <c r="B14" s="347" t="s">
        <v>256</v>
      </c>
      <c r="C14" s="344">
        <v>9484301</v>
      </c>
      <c r="D14" s="344">
        <v>0</v>
      </c>
      <c r="E14" s="344">
        <v>0</v>
      </c>
      <c r="F14" s="344">
        <f t="shared" si="0"/>
        <v>9484301</v>
      </c>
      <c r="G14" s="26"/>
    </row>
    <row r="15" spans="2:7">
      <c r="B15" s="347" t="s">
        <v>699</v>
      </c>
      <c r="C15" s="344">
        <v>7000000</v>
      </c>
      <c r="D15" s="344">
        <v>0</v>
      </c>
      <c r="E15" s="344"/>
      <c r="F15" s="344">
        <f t="shared" si="0"/>
        <v>7000000</v>
      </c>
      <c r="G15" s="26"/>
    </row>
    <row r="16" spans="2:7" ht="18.75" customHeight="1">
      <c r="B16" s="347" t="s">
        <v>257</v>
      </c>
      <c r="C16" s="344">
        <v>169574314</v>
      </c>
      <c r="D16" s="344">
        <v>0</v>
      </c>
      <c r="E16" s="344">
        <v>0</v>
      </c>
      <c r="F16" s="344">
        <f t="shared" si="0"/>
        <v>169574314</v>
      </c>
      <c r="G16" s="26"/>
    </row>
    <row r="17" spans="2:7">
      <c r="B17" s="347" t="s">
        <v>258</v>
      </c>
      <c r="C17" s="344">
        <v>-1528230865</v>
      </c>
      <c r="D17" s="344">
        <v>126030604</v>
      </c>
      <c r="E17" s="344">
        <v>0</v>
      </c>
      <c r="F17" s="344">
        <f t="shared" si="0"/>
        <v>-1402200261</v>
      </c>
      <c r="G17" s="26"/>
    </row>
    <row r="18" spans="2:7">
      <c r="B18" s="347" t="s">
        <v>259</v>
      </c>
      <c r="C18" s="344">
        <v>126030604</v>
      </c>
      <c r="D18" s="344">
        <v>0</v>
      </c>
      <c r="E18" s="344">
        <v>-126030604</v>
      </c>
      <c r="F18" s="344">
        <f t="shared" si="0"/>
        <v>0</v>
      </c>
      <c r="G18" s="26"/>
    </row>
    <row r="19" spans="2:7">
      <c r="B19" s="345" t="s">
        <v>260</v>
      </c>
      <c r="C19" s="346">
        <v>2816158354</v>
      </c>
      <c r="D19" s="346">
        <v>553171001.51999998</v>
      </c>
      <c r="E19" s="346">
        <v>-381493563.32000005</v>
      </c>
      <c r="F19" s="346">
        <v>2816158354</v>
      </c>
    </row>
    <row r="20" spans="2:7">
      <c r="B20" s="193" t="s">
        <v>261</v>
      </c>
      <c r="C20" s="187"/>
      <c r="D20" s="187"/>
      <c r="E20" s="187"/>
      <c r="F20" s="187"/>
    </row>
    <row r="21" spans="2:7">
      <c r="B21" s="190" t="s">
        <v>391</v>
      </c>
      <c r="C21" s="187"/>
      <c r="D21" s="187"/>
      <c r="E21" s="187"/>
      <c r="F21" s="187"/>
    </row>
    <row r="22" spans="2:7">
      <c r="B22" s="187"/>
      <c r="C22" s="187"/>
      <c r="D22" s="187"/>
      <c r="E22" s="187"/>
      <c r="F22" s="187"/>
    </row>
    <row r="23" spans="2:7">
      <c r="B23" s="488" t="s">
        <v>262</v>
      </c>
      <c r="C23" s="488"/>
      <c r="D23" s="488"/>
      <c r="E23" s="488"/>
      <c r="F23" s="488"/>
    </row>
    <row r="24" spans="2:7">
      <c r="B24" s="193" t="s">
        <v>263</v>
      </c>
      <c r="C24" s="187"/>
      <c r="D24" s="187"/>
      <c r="E24" s="187"/>
      <c r="F24" s="187"/>
    </row>
    <row r="25" spans="2:7">
      <c r="B25" s="491" t="s">
        <v>171</v>
      </c>
      <c r="C25" s="234" t="s">
        <v>265</v>
      </c>
      <c r="D25" s="234" t="s">
        <v>267</v>
      </c>
      <c r="E25" s="187"/>
      <c r="F25" s="187"/>
    </row>
    <row r="26" spans="2:7">
      <c r="B26" s="491"/>
      <c r="C26" s="234" t="s">
        <v>266</v>
      </c>
      <c r="D26" s="234" t="s">
        <v>268</v>
      </c>
      <c r="E26" s="187"/>
      <c r="F26" s="187"/>
    </row>
    <row r="27" spans="2:7" s="278" customFormat="1">
      <c r="B27" s="280" t="s">
        <v>610</v>
      </c>
      <c r="C27" s="282">
        <v>31336</v>
      </c>
      <c r="D27" s="281"/>
      <c r="E27" s="200"/>
      <c r="F27" s="200"/>
    </row>
    <row r="28" spans="2:7" s="278" customFormat="1">
      <c r="B28" s="280" t="s">
        <v>611</v>
      </c>
      <c r="C28" s="282">
        <v>32064</v>
      </c>
      <c r="D28" s="281"/>
      <c r="E28" s="200"/>
      <c r="F28" s="200"/>
    </row>
    <row r="29" spans="2:7" s="278" customFormat="1">
      <c r="B29" s="162" t="s">
        <v>208</v>
      </c>
      <c r="C29" s="283">
        <f>SUM(C27:C28)</f>
        <v>63400</v>
      </c>
      <c r="D29" s="279"/>
      <c r="E29" s="200"/>
      <c r="F29" s="200"/>
    </row>
    <row r="30" spans="2:7">
      <c r="B30" s="191"/>
      <c r="C30" s="187"/>
      <c r="D30" s="187"/>
      <c r="E30" s="187"/>
      <c r="F30" s="187"/>
    </row>
    <row r="31" spans="2:7">
      <c r="B31" s="187"/>
      <c r="C31" s="187"/>
      <c r="D31" s="187"/>
      <c r="E31" s="187"/>
      <c r="F31" s="187"/>
    </row>
    <row r="32" spans="2:7">
      <c r="B32" s="192" t="s">
        <v>264</v>
      </c>
      <c r="C32" s="187"/>
      <c r="D32" s="187"/>
      <c r="E32" s="187"/>
      <c r="F32" s="187"/>
    </row>
    <row r="33" spans="2:7">
      <c r="B33" s="191" t="s">
        <v>184</v>
      </c>
      <c r="C33" s="187"/>
      <c r="D33" s="187"/>
      <c r="E33" s="187"/>
      <c r="F33" s="187"/>
    </row>
    <row r="34" spans="2:7">
      <c r="B34" s="491" t="s">
        <v>171</v>
      </c>
      <c r="C34" s="234" t="s">
        <v>265</v>
      </c>
      <c r="D34" s="234" t="s">
        <v>267</v>
      </c>
    </row>
    <row r="35" spans="2:7">
      <c r="B35" s="491"/>
      <c r="C35" s="234" t="s">
        <v>266</v>
      </c>
      <c r="D35" s="234" t="s">
        <v>268</v>
      </c>
    </row>
    <row r="36" spans="2:7">
      <c r="B36" s="69" t="s">
        <v>269</v>
      </c>
      <c r="C36" s="49">
        <v>18958000</v>
      </c>
      <c r="D36" s="70">
        <v>157761045.2845</v>
      </c>
      <c r="E36" s="40"/>
      <c r="F36" s="27"/>
    </row>
    <row r="37" spans="2:7">
      <c r="B37" s="69" t="s">
        <v>270</v>
      </c>
      <c r="C37" s="49">
        <v>4440565</v>
      </c>
      <c r="D37" s="70">
        <v>180298337.46800002</v>
      </c>
      <c r="F37" s="27"/>
    </row>
    <row r="38" spans="2:7">
      <c r="B38" s="69" t="s">
        <v>353</v>
      </c>
      <c r="C38" s="49">
        <v>4753867</v>
      </c>
      <c r="D38" s="70">
        <v>112686460.9175</v>
      </c>
      <c r="E38" s="401"/>
      <c r="F38" s="27"/>
      <c r="G38" s="30"/>
    </row>
    <row r="39" spans="2:7" ht="14.4" thickBot="1">
      <c r="B39" s="69" t="s">
        <v>355</v>
      </c>
      <c r="C39" s="49">
        <v>185380682</v>
      </c>
      <c r="D39" s="408">
        <v>35194</v>
      </c>
      <c r="E39" s="401"/>
      <c r="F39" s="27"/>
      <c r="G39" s="30"/>
    </row>
    <row r="40" spans="2:7" ht="14.4" thickBot="1">
      <c r="B40" s="69" t="s">
        <v>354</v>
      </c>
      <c r="C40" s="49">
        <v>174758000</v>
      </c>
      <c r="D40" s="408">
        <v>23502631.159999967</v>
      </c>
      <c r="E40" s="401"/>
      <c r="F40" s="27"/>
      <c r="G40" s="30"/>
    </row>
    <row r="41" spans="2:7" ht="14.4" thickBot="1">
      <c r="B41" s="69" t="s">
        <v>271</v>
      </c>
      <c r="C41" s="49">
        <v>59213219</v>
      </c>
      <c r="D41" s="408">
        <v>70285079.609999999</v>
      </c>
      <c r="E41" s="401"/>
      <c r="F41" s="27"/>
      <c r="G41" s="30"/>
    </row>
    <row r="42" spans="2:7">
      <c r="B42" s="71" t="s">
        <v>208</v>
      </c>
      <c r="C42" s="75">
        <f>SUM(C36:C41)</f>
        <v>447504333</v>
      </c>
      <c r="D42" s="75">
        <f>SUM(D36:D41)</f>
        <v>544568748.44000006</v>
      </c>
      <c r="E42" s="30"/>
      <c r="F42" s="402"/>
      <c r="G42" s="403"/>
    </row>
    <row r="45" spans="2:7">
      <c r="B45" s="193" t="s">
        <v>272</v>
      </c>
    </row>
    <row r="46" spans="2:7">
      <c r="B46" s="186" t="s">
        <v>273</v>
      </c>
    </row>
    <row r="47" spans="2:7">
      <c r="B47" s="190" t="s">
        <v>184</v>
      </c>
    </row>
    <row r="48" spans="2:7">
      <c r="B48" s="474" t="s">
        <v>248</v>
      </c>
      <c r="C48" s="233" t="s">
        <v>274</v>
      </c>
      <c r="D48" s="236" t="s">
        <v>279</v>
      </c>
    </row>
    <row r="49" spans="2:6">
      <c r="B49" s="474"/>
      <c r="C49" s="233" t="s">
        <v>155</v>
      </c>
      <c r="D49" s="236" t="s">
        <v>275</v>
      </c>
    </row>
    <row r="50" spans="2:6">
      <c r="B50" s="72" t="s">
        <v>276</v>
      </c>
      <c r="C50" s="68">
        <v>20704880</v>
      </c>
      <c r="D50" s="68">
        <v>83388000</v>
      </c>
      <c r="F50" s="28"/>
    </row>
    <row r="51" spans="2:6">
      <c r="B51" s="72" t="s">
        <v>326</v>
      </c>
      <c r="C51" s="68">
        <v>6219728</v>
      </c>
      <c r="D51" s="68">
        <v>0</v>
      </c>
      <c r="F51" s="28"/>
    </row>
    <row r="52" spans="2:6">
      <c r="B52" s="72" t="s">
        <v>754</v>
      </c>
      <c r="C52" s="68">
        <v>20703000</v>
      </c>
      <c r="D52" s="68"/>
      <c r="F52" s="28"/>
    </row>
    <row r="53" spans="2:6">
      <c r="B53" s="72" t="s">
        <v>277</v>
      </c>
      <c r="C53" s="68">
        <v>0</v>
      </c>
      <c r="D53" s="68">
        <v>0</v>
      </c>
      <c r="F53" s="28"/>
    </row>
    <row r="54" spans="2:6">
      <c r="B54" s="72" t="s">
        <v>278</v>
      </c>
      <c r="C54" s="68">
        <v>2641530</v>
      </c>
      <c r="D54" s="68">
        <v>0</v>
      </c>
      <c r="F54" s="28"/>
    </row>
    <row r="55" spans="2:6">
      <c r="B55" s="73" t="s">
        <v>260</v>
      </c>
      <c r="C55" s="74">
        <f>SUM(C50:C54)</f>
        <v>50269138</v>
      </c>
      <c r="D55" s="74">
        <f>SUM(D50:D54)</f>
        <v>83388000</v>
      </c>
      <c r="F55" s="29"/>
    </row>
    <row r="57" spans="2:6">
      <c r="B57" s="318" t="s">
        <v>669</v>
      </c>
    </row>
    <row r="58" spans="2:6" ht="14.4" thickBot="1">
      <c r="B58" s="319" t="s">
        <v>184</v>
      </c>
    </row>
    <row r="59" spans="2:6">
      <c r="B59" s="506" t="s">
        <v>248</v>
      </c>
      <c r="C59" s="329" t="s">
        <v>274</v>
      </c>
      <c r="D59" s="330" t="s">
        <v>279</v>
      </c>
    </row>
    <row r="60" spans="2:6" ht="14.4" thickBot="1">
      <c r="B60" s="507"/>
      <c r="C60" s="331" t="s">
        <v>155</v>
      </c>
      <c r="D60" s="332" t="s">
        <v>275</v>
      </c>
    </row>
    <row r="61" spans="2:6" ht="14.4" thickBot="1">
      <c r="B61" s="320" t="s">
        <v>755</v>
      </c>
      <c r="C61" s="327">
        <v>581988</v>
      </c>
      <c r="D61" s="321">
        <v>0</v>
      </c>
      <c r="F61" s="29"/>
    </row>
    <row r="62" spans="2:6" ht="14.4" thickBot="1">
      <c r="B62" s="320" t="s">
        <v>756</v>
      </c>
      <c r="C62" s="327">
        <v>2338860</v>
      </c>
      <c r="D62" s="322">
        <v>0</v>
      </c>
      <c r="F62" s="28"/>
    </row>
    <row r="63" spans="2:6" ht="14.4" thickBot="1">
      <c r="B63" s="320"/>
      <c r="C63" s="327">
        <v>0</v>
      </c>
      <c r="D63" s="323">
        <v>0</v>
      </c>
      <c r="F63" s="29"/>
    </row>
    <row r="64" spans="2:6" ht="14.4" thickBot="1">
      <c r="B64" s="324" t="s">
        <v>260</v>
      </c>
      <c r="C64" s="327">
        <f>SUM(C61:C63)</f>
        <v>2920848</v>
      </c>
      <c r="D64" s="323">
        <v>0</v>
      </c>
      <c r="F64" s="29"/>
    </row>
    <row r="65" spans="2:7">
      <c r="B65" s="325"/>
      <c r="C65" s="328"/>
      <c r="D65" s="326"/>
      <c r="F65" s="29"/>
    </row>
    <row r="66" spans="2:7">
      <c r="B66" s="186" t="s">
        <v>280</v>
      </c>
      <c r="F66" s="30"/>
    </row>
    <row r="67" spans="2:7">
      <c r="B67" s="190" t="s">
        <v>184</v>
      </c>
    </row>
    <row r="68" spans="2:7">
      <c r="B68" s="474" t="s">
        <v>248</v>
      </c>
      <c r="C68" s="233" t="s">
        <v>274</v>
      </c>
      <c r="D68" s="236" t="s">
        <v>279</v>
      </c>
    </row>
    <row r="69" spans="2:7">
      <c r="B69" s="474"/>
      <c r="C69" s="233" t="s">
        <v>155</v>
      </c>
      <c r="D69" s="236" t="s">
        <v>275</v>
      </c>
    </row>
    <row r="70" spans="2:7">
      <c r="B70" s="72" t="s">
        <v>281</v>
      </c>
      <c r="C70" s="68">
        <v>515000</v>
      </c>
      <c r="D70" s="68">
        <v>160000</v>
      </c>
    </row>
    <row r="71" spans="2:7">
      <c r="B71" s="72" t="s">
        <v>292</v>
      </c>
      <c r="C71" s="68">
        <v>8432189</v>
      </c>
      <c r="D71" s="68">
        <v>1181475.44</v>
      </c>
    </row>
    <row r="72" spans="2:7">
      <c r="B72" s="72" t="s">
        <v>686</v>
      </c>
      <c r="C72" s="68">
        <v>120568000</v>
      </c>
      <c r="D72" s="68">
        <v>0</v>
      </c>
    </row>
    <row r="73" spans="2:7">
      <c r="B73" s="72" t="s">
        <v>282</v>
      </c>
      <c r="C73" s="68">
        <v>0</v>
      </c>
      <c r="D73" s="68">
        <v>20000</v>
      </c>
    </row>
    <row r="74" spans="2:7">
      <c r="B74" s="73" t="s">
        <v>260</v>
      </c>
      <c r="C74" s="74">
        <f>SUM(C70:C73)</f>
        <v>129515189</v>
      </c>
      <c r="D74" s="74">
        <f>SUM(D70:D73)</f>
        <v>1361475.44</v>
      </c>
    </row>
    <row r="77" spans="2:7">
      <c r="B77" s="186" t="s">
        <v>283</v>
      </c>
    </row>
    <row r="78" spans="2:7">
      <c r="B78" s="190" t="s">
        <v>184</v>
      </c>
      <c r="G78" s="38"/>
    </row>
    <row r="79" spans="2:7">
      <c r="B79" s="474" t="s">
        <v>248</v>
      </c>
      <c r="C79" s="233" t="s">
        <v>274</v>
      </c>
      <c r="D79" s="236" t="s">
        <v>279</v>
      </c>
      <c r="G79" s="38"/>
    </row>
    <row r="80" spans="2:7">
      <c r="B80" s="474"/>
      <c r="C80" s="233" t="s">
        <v>155</v>
      </c>
      <c r="D80" s="236" t="s">
        <v>275</v>
      </c>
      <c r="G80" s="38"/>
    </row>
    <row r="81" spans="2:7" ht="14.4" thickBot="1">
      <c r="B81" s="69" t="s">
        <v>743</v>
      </c>
      <c r="C81" s="49">
        <v>118681320</v>
      </c>
      <c r="D81" s="408">
        <v>128824546</v>
      </c>
      <c r="E81" s="38"/>
      <c r="G81" s="38"/>
    </row>
    <row r="82" spans="2:7" ht="14.4" thickBot="1">
      <c r="B82" s="69" t="s">
        <v>284</v>
      </c>
      <c r="C82" s="49">
        <v>19582416</v>
      </c>
      <c r="D82" s="408">
        <v>21271830</v>
      </c>
      <c r="G82" s="38"/>
    </row>
    <row r="83" spans="2:7" ht="14.4" thickBot="1">
      <c r="B83" s="69" t="s">
        <v>285</v>
      </c>
      <c r="C83" s="49">
        <v>6398120</v>
      </c>
      <c r="D83" s="408">
        <v>3473349</v>
      </c>
      <c r="G83" s="38"/>
    </row>
    <row r="84" spans="2:7" ht="14.4" thickBot="1">
      <c r="B84" s="69" t="s">
        <v>286</v>
      </c>
      <c r="C84" s="49">
        <v>0</v>
      </c>
      <c r="D84" s="408">
        <v>7937241</v>
      </c>
      <c r="G84" s="38"/>
    </row>
    <row r="85" spans="2:7">
      <c r="B85" s="69" t="s">
        <v>287</v>
      </c>
      <c r="C85" s="49">
        <v>0</v>
      </c>
      <c r="D85" s="49">
        <v>0</v>
      </c>
    </row>
    <row r="86" spans="2:7" ht="14.4" thickBot="1">
      <c r="B86" s="69" t="s">
        <v>288</v>
      </c>
      <c r="C86" s="49">
        <v>29090911</v>
      </c>
      <c r="D86" s="408">
        <v>14545454.539999999</v>
      </c>
    </row>
    <row r="87" spans="2:7">
      <c r="B87" s="69" t="s">
        <v>289</v>
      </c>
      <c r="C87" s="49">
        <v>189330399</v>
      </c>
      <c r="D87" s="49">
        <v>0</v>
      </c>
    </row>
    <row r="88" spans="2:7">
      <c r="B88" s="69" t="s">
        <v>387</v>
      </c>
      <c r="C88" s="49">
        <v>80000</v>
      </c>
      <c r="D88" s="49">
        <v>0</v>
      </c>
    </row>
    <row r="89" spans="2:7">
      <c r="B89" s="69" t="s">
        <v>290</v>
      </c>
      <c r="C89" s="49">
        <v>0</v>
      </c>
      <c r="D89" s="49">
        <v>0</v>
      </c>
    </row>
    <row r="90" spans="2:7">
      <c r="B90" s="69" t="s">
        <v>330</v>
      </c>
      <c r="C90" s="49">
        <v>0</v>
      </c>
      <c r="D90" s="49">
        <v>0</v>
      </c>
      <c r="F90" s="41"/>
    </row>
    <row r="91" spans="2:7" ht="14.4" thickBot="1">
      <c r="B91" s="69" t="s">
        <v>291</v>
      </c>
      <c r="C91" s="49">
        <v>27500003</v>
      </c>
      <c r="D91" s="408">
        <v>22281817.989999998</v>
      </c>
    </row>
    <row r="92" spans="2:7" ht="14.4" thickBot="1">
      <c r="B92" s="69" t="s">
        <v>356</v>
      </c>
      <c r="C92" s="49">
        <v>4643245</v>
      </c>
      <c r="D92" s="408">
        <v>6890962.71</v>
      </c>
    </row>
    <row r="93" spans="2:7" ht="14.4" thickBot="1">
      <c r="B93" s="69" t="s">
        <v>293</v>
      </c>
      <c r="C93" s="49">
        <v>1592314</v>
      </c>
      <c r="D93" s="408">
        <v>422219.64</v>
      </c>
    </row>
    <row r="94" spans="2:7" ht="14.4" thickBot="1">
      <c r="B94" s="69" t="s">
        <v>294</v>
      </c>
      <c r="C94" s="49">
        <v>100880</v>
      </c>
      <c r="D94" s="408">
        <v>43101893.200000107</v>
      </c>
    </row>
    <row r="95" spans="2:7">
      <c r="B95" s="69" t="s">
        <v>295</v>
      </c>
      <c r="C95" s="49">
        <v>18667601</v>
      </c>
      <c r="D95" s="49">
        <v>0</v>
      </c>
    </row>
    <row r="96" spans="2:7">
      <c r="B96" s="69" t="s">
        <v>357</v>
      </c>
      <c r="C96" s="49">
        <v>0</v>
      </c>
      <c r="D96" s="49">
        <v>0</v>
      </c>
    </row>
    <row r="97" spans="2:6">
      <c r="B97" s="69" t="s">
        <v>329</v>
      </c>
      <c r="C97" s="49">
        <v>0</v>
      </c>
      <c r="D97" s="49">
        <v>0</v>
      </c>
    </row>
    <row r="98" spans="2:6">
      <c r="B98" s="69" t="s">
        <v>296</v>
      </c>
      <c r="C98" s="49">
        <v>0</v>
      </c>
      <c r="D98" s="49">
        <v>0</v>
      </c>
    </row>
    <row r="99" spans="2:6">
      <c r="B99" s="69" t="s">
        <v>297</v>
      </c>
      <c r="C99" s="49">
        <v>331725</v>
      </c>
      <c r="D99" s="49">
        <v>0</v>
      </c>
    </row>
    <row r="100" spans="2:6">
      <c r="B100" s="69" t="s">
        <v>298</v>
      </c>
      <c r="C100" s="49">
        <v>0</v>
      </c>
      <c r="D100" s="49">
        <v>0</v>
      </c>
    </row>
    <row r="101" spans="2:6">
      <c r="B101" s="69" t="s">
        <v>299</v>
      </c>
      <c r="C101" s="49">
        <v>0</v>
      </c>
      <c r="D101" s="49">
        <v>0</v>
      </c>
    </row>
    <row r="102" spans="2:6">
      <c r="B102" s="69" t="s">
        <v>300</v>
      </c>
      <c r="C102" s="49">
        <v>0</v>
      </c>
      <c r="D102" s="49">
        <v>0</v>
      </c>
    </row>
    <row r="103" spans="2:6" ht="14.4" thickBot="1">
      <c r="B103" s="69" t="s">
        <v>301</v>
      </c>
      <c r="C103" s="49">
        <v>0</v>
      </c>
      <c r="D103" s="408">
        <v>2613013.64</v>
      </c>
    </row>
    <row r="104" spans="2:6">
      <c r="B104" s="71" t="s">
        <v>260</v>
      </c>
      <c r="C104" s="75">
        <f>SUM(C81:C103)</f>
        <v>415998934</v>
      </c>
      <c r="D104" s="75">
        <f>SUM(D81:D103)</f>
        <v>251362327.72000009</v>
      </c>
      <c r="F104" s="40"/>
    </row>
    <row r="105" spans="2:6">
      <c r="B105" s="31"/>
      <c r="C105" s="20"/>
      <c r="D105" s="20"/>
    </row>
    <row r="106" spans="2:6">
      <c r="B106" s="31"/>
      <c r="C106" s="152"/>
      <c r="D106" s="20"/>
    </row>
    <row r="107" spans="2:6">
      <c r="B107" s="31"/>
      <c r="C107" s="20"/>
      <c r="D107" s="20"/>
    </row>
    <row r="108" spans="2:6">
      <c r="B108" s="31"/>
      <c r="C108" s="20"/>
      <c r="D108" s="20"/>
    </row>
  </sheetData>
  <mergeCells count="9">
    <mergeCell ref="B68:B69"/>
    <mergeCell ref="B79:B80"/>
    <mergeCell ref="B8:E8"/>
    <mergeCell ref="B10:F10"/>
    <mergeCell ref="B23:F23"/>
    <mergeCell ref="B34:B35"/>
    <mergeCell ref="B48:B49"/>
    <mergeCell ref="B25:B26"/>
    <mergeCell ref="B59:B60"/>
  </mergeCells>
  <pageMargins left="0.70866141732283472" right="0.70866141732283472" top="1.3385826771653544" bottom="0.74803149606299213" header="0.31496062992125984"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2:F40"/>
  <sheetViews>
    <sheetView showGridLines="0" topLeftCell="A10" zoomScale="102" zoomScaleNormal="102" workbookViewId="0">
      <selection activeCell="C11" sqref="C11"/>
    </sheetView>
  </sheetViews>
  <sheetFormatPr baseColWidth="10" defaultColWidth="10.6640625" defaultRowHeight="14.4"/>
  <cols>
    <col min="1" max="1" width="4.6640625" customWidth="1"/>
    <col min="2" max="2" width="39.44140625" customWidth="1"/>
    <col min="3" max="3" width="20.5546875" customWidth="1"/>
    <col min="4" max="4" width="23" customWidth="1"/>
    <col min="5" max="5" width="16.33203125" customWidth="1"/>
    <col min="8" max="8" width="16.5546875" customWidth="1"/>
    <col min="9" max="9" width="15.5546875" customWidth="1"/>
  </cols>
  <sheetData>
    <row r="2" spans="2:6" s="50" customFormat="1"/>
    <row r="3" spans="2:6">
      <c r="B3" s="497" t="s">
        <v>302</v>
      </c>
      <c r="C3" s="497"/>
      <c r="D3" s="497"/>
      <c r="E3" s="497"/>
      <c r="F3" s="497"/>
    </row>
    <row r="4" spans="2:6">
      <c r="B4" s="496" t="s">
        <v>184</v>
      </c>
      <c r="C4" s="496"/>
      <c r="D4" s="496"/>
      <c r="E4" s="496"/>
      <c r="F4" s="496"/>
    </row>
    <row r="5" spans="2:6">
      <c r="B5" s="197" t="s">
        <v>413</v>
      </c>
      <c r="C5" s="197"/>
      <c r="D5" s="197"/>
      <c r="E5" s="195"/>
      <c r="F5" s="187"/>
    </row>
    <row r="6" spans="2:6">
      <c r="B6" s="167"/>
      <c r="C6" s="167"/>
      <c r="D6" s="167"/>
      <c r="E6" s="54"/>
    </row>
    <row r="7" spans="2:6" ht="25.2" customHeight="1">
      <c r="B7" s="230" t="s">
        <v>248</v>
      </c>
      <c r="C7" s="231" t="s">
        <v>238</v>
      </c>
      <c r="D7" s="231" t="s">
        <v>303</v>
      </c>
    </row>
    <row r="8" spans="2:6">
      <c r="B8" s="168" t="s">
        <v>679</v>
      </c>
      <c r="C8" s="225">
        <v>83632566</v>
      </c>
      <c r="D8" s="169">
        <v>0</v>
      </c>
    </row>
    <row r="9" spans="2:6">
      <c r="B9" s="168" t="s">
        <v>680</v>
      </c>
      <c r="C9" s="169">
        <v>11983265</v>
      </c>
      <c r="D9" s="169">
        <v>0</v>
      </c>
    </row>
    <row r="10" spans="2:6">
      <c r="B10" s="168" t="s">
        <v>681</v>
      </c>
      <c r="C10" s="169">
        <v>0</v>
      </c>
      <c r="D10" s="169">
        <v>0</v>
      </c>
    </row>
    <row r="11" spans="2:6">
      <c r="B11" s="168" t="s">
        <v>779</v>
      </c>
      <c r="C11" s="169">
        <v>46811995</v>
      </c>
      <c r="D11" s="169">
        <v>0</v>
      </c>
    </row>
    <row r="12" spans="2:6">
      <c r="B12" s="168"/>
      <c r="C12" s="169"/>
      <c r="D12" s="169"/>
    </row>
    <row r="13" spans="2:6">
      <c r="B13" s="170" t="s">
        <v>304</v>
      </c>
      <c r="C13" s="171">
        <f>SUM(C8:C12)</f>
        <v>142427826</v>
      </c>
      <c r="D13" s="171">
        <f>SUM(D8:D12)</f>
        <v>0</v>
      </c>
    </row>
    <row r="14" spans="2:6">
      <c r="B14" s="161"/>
      <c r="C14" s="161"/>
      <c r="D14" s="161"/>
    </row>
    <row r="15" spans="2:6">
      <c r="B15" s="160" t="s">
        <v>390</v>
      </c>
      <c r="C15" s="161"/>
      <c r="D15" s="161"/>
    </row>
    <row r="16" spans="2:6" ht="28.8">
      <c r="B16" s="230" t="s">
        <v>248</v>
      </c>
      <c r="C16" s="231" t="s">
        <v>238</v>
      </c>
      <c r="D16" s="231" t="s">
        <v>303</v>
      </c>
    </row>
    <row r="17" spans="2:6">
      <c r="B17" s="172" t="s">
        <v>389</v>
      </c>
      <c r="C17" s="173">
        <v>0</v>
      </c>
      <c r="D17" s="173"/>
    </row>
    <row r="18" spans="2:6">
      <c r="B18" s="170" t="s">
        <v>304</v>
      </c>
      <c r="C18" s="174">
        <v>0</v>
      </c>
      <c r="D18" s="174">
        <v>0</v>
      </c>
    </row>
    <row r="20" spans="2:6">
      <c r="B20" s="193" t="s">
        <v>305</v>
      </c>
      <c r="C20" s="187"/>
      <c r="D20" s="187"/>
      <c r="E20" s="187"/>
      <c r="F20" s="187"/>
    </row>
    <row r="21" spans="2:6">
      <c r="B21" s="496" t="s">
        <v>184</v>
      </c>
      <c r="C21" s="496"/>
      <c r="D21" s="496"/>
      <c r="E21" s="496"/>
      <c r="F21" s="496"/>
    </row>
    <row r="23" spans="2:6">
      <c r="B23" s="186" t="s">
        <v>414</v>
      </c>
    </row>
    <row r="24" spans="2:6" ht="28.8">
      <c r="B24" s="230" t="s">
        <v>248</v>
      </c>
      <c r="C24" s="231" t="s">
        <v>238</v>
      </c>
      <c r="D24" s="231" t="s">
        <v>303</v>
      </c>
    </row>
    <row r="25" spans="2:6">
      <c r="B25" s="55" t="s">
        <v>685</v>
      </c>
      <c r="C25" s="225">
        <v>676468</v>
      </c>
      <c r="D25" s="225">
        <v>12730</v>
      </c>
    </row>
    <row r="26" spans="2:6">
      <c r="B26" s="55" t="s">
        <v>385</v>
      </c>
      <c r="C26" s="225">
        <v>5048494</v>
      </c>
      <c r="D26" s="225">
        <v>0</v>
      </c>
    </row>
    <row r="27" spans="2:6">
      <c r="B27" s="343" t="s">
        <v>386</v>
      </c>
      <c r="C27" s="225">
        <v>39399696</v>
      </c>
      <c r="D27" s="225">
        <v>5745600</v>
      </c>
    </row>
    <row r="28" spans="2:6" s="50" customFormat="1">
      <c r="B28" s="343" t="s">
        <v>778</v>
      </c>
      <c r="C28" s="225">
        <v>239548</v>
      </c>
      <c r="D28" s="225">
        <v>0</v>
      </c>
    </row>
    <row r="29" spans="2:6">
      <c r="B29" s="55" t="s">
        <v>757</v>
      </c>
      <c r="C29" s="225">
        <v>8931322</v>
      </c>
      <c r="D29" s="225">
        <v>0</v>
      </c>
    </row>
    <row r="30" spans="2:6">
      <c r="B30" s="56" t="s">
        <v>304</v>
      </c>
      <c r="C30" s="57">
        <f>SUM(C25:C29)</f>
        <v>54295528</v>
      </c>
      <c r="D30" s="58">
        <f>SUM(D25:D29)</f>
        <v>5758330</v>
      </c>
    </row>
    <row r="32" spans="2:6">
      <c r="B32" s="186" t="s">
        <v>415</v>
      </c>
    </row>
    <row r="33" spans="2:4" ht="27.6">
      <c r="B33" s="232" t="s">
        <v>248</v>
      </c>
      <c r="C33" s="233" t="s">
        <v>238</v>
      </c>
      <c r="D33" s="233" t="s">
        <v>303</v>
      </c>
    </row>
    <row r="34" spans="2:4" ht="15" thickBot="1">
      <c r="B34" s="60" t="s">
        <v>682</v>
      </c>
      <c r="C34" s="61">
        <v>11982465</v>
      </c>
      <c r="D34" s="410">
        <v>38163197</v>
      </c>
    </row>
    <row r="35" spans="2:4">
      <c r="B35" s="60" t="s">
        <v>683</v>
      </c>
      <c r="C35" s="61"/>
      <c r="D35" s="344">
        <v>0</v>
      </c>
    </row>
    <row r="36" spans="2:4">
      <c r="B36" s="60"/>
      <c r="C36" s="64"/>
      <c r="D36" s="63"/>
    </row>
    <row r="37" spans="2:4">
      <c r="B37" s="65" t="s">
        <v>304</v>
      </c>
      <c r="C37" s="66">
        <f>SUM(C34:C36)</f>
        <v>11982465</v>
      </c>
      <c r="D37" s="67">
        <f>SUM(D34:D36)</f>
        <v>38163197</v>
      </c>
    </row>
    <row r="39" spans="2:4">
      <c r="B39" s="186" t="s">
        <v>306</v>
      </c>
    </row>
    <row r="40" spans="2:4">
      <c r="B40" s="190" t="s">
        <v>226</v>
      </c>
    </row>
  </sheetData>
  <mergeCells count="3">
    <mergeCell ref="B3:F3"/>
    <mergeCell ref="B4:F4"/>
    <mergeCell ref="B21:F21"/>
  </mergeCells>
  <pageMargins left="0.70866141732283472" right="0.70866141732283472" top="1.1417322834645669" bottom="0.74803149606299213" header="0.31496062992125984" footer="0.31496062992125984"/>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2:E38"/>
  <sheetViews>
    <sheetView showGridLines="0" topLeftCell="A4" zoomScale="99" zoomScaleNormal="99" workbookViewId="0"/>
  </sheetViews>
  <sheetFormatPr baseColWidth="10" defaultColWidth="10.6640625" defaultRowHeight="14.4"/>
  <cols>
    <col min="1" max="1" width="5" customWidth="1"/>
    <col min="2" max="2" width="3.33203125" style="114" customWidth="1"/>
    <col min="3" max="3" width="92.5546875" customWidth="1"/>
    <col min="4" max="4" width="42.6640625" bestFit="1" customWidth="1"/>
    <col min="5" max="5" width="14.33203125" customWidth="1"/>
  </cols>
  <sheetData>
    <row r="2" spans="2:5" ht="35.25" customHeight="1">
      <c r="B2" s="103" t="s">
        <v>307</v>
      </c>
      <c r="C2" s="497" t="s">
        <v>308</v>
      </c>
      <c r="D2" s="497"/>
      <c r="E2" s="497"/>
    </row>
    <row r="3" spans="2:5">
      <c r="C3" s="488" t="s">
        <v>309</v>
      </c>
      <c r="D3" s="488"/>
      <c r="E3" s="488"/>
    </row>
    <row r="4" spans="2:5">
      <c r="C4" s="496" t="s">
        <v>391</v>
      </c>
      <c r="D4" s="496"/>
      <c r="E4" s="496"/>
    </row>
    <row r="5" spans="2:5">
      <c r="C5" s="187"/>
      <c r="D5" s="187"/>
      <c r="E5" s="187"/>
    </row>
    <row r="6" spans="2:5">
      <c r="C6" s="488" t="s">
        <v>310</v>
      </c>
      <c r="D6" s="488"/>
      <c r="E6" s="488"/>
    </row>
    <row r="7" spans="2:5">
      <c r="C7" s="496" t="s">
        <v>391</v>
      </c>
      <c r="D7" s="496"/>
      <c r="E7" s="187"/>
    </row>
    <row r="8" spans="2:5" ht="33" customHeight="1">
      <c r="C8" s="497" t="s">
        <v>412</v>
      </c>
      <c r="D8" s="497"/>
      <c r="E8" s="497"/>
    </row>
    <row r="10" spans="2:5">
      <c r="C10" s="509" t="s">
        <v>311</v>
      </c>
      <c r="D10" s="510"/>
      <c r="E10" s="12"/>
    </row>
    <row r="11" spans="2:5">
      <c r="C11" s="196" t="s">
        <v>442</v>
      </c>
      <c r="D11" s="212" t="s">
        <v>443</v>
      </c>
    </row>
    <row r="12" spans="2:5">
      <c r="C12" s="196" t="s">
        <v>444</v>
      </c>
      <c r="D12" s="212">
        <v>1514002911</v>
      </c>
    </row>
    <row r="13" spans="2:5">
      <c r="C13" s="196" t="s">
        <v>445</v>
      </c>
      <c r="D13" s="212" t="s">
        <v>446</v>
      </c>
    </row>
    <row r="14" spans="2:5">
      <c r="C14" s="196" t="s">
        <v>447</v>
      </c>
      <c r="D14" s="212" t="s">
        <v>448</v>
      </c>
    </row>
    <row r="15" spans="2:5">
      <c r="C15" s="196" t="s">
        <v>449</v>
      </c>
      <c r="D15" s="229">
        <v>44246</v>
      </c>
    </row>
    <row r="16" spans="2:5">
      <c r="C16" s="196" t="s">
        <v>450</v>
      </c>
      <c r="D16" s="229">
        <v>44256</v>
      </c>
    </row>
    <row r="17" spans="2:5">
      <c r="C17" s="196" t="s">
        <v>451</v>
      </c>
      <c r="D17" s="229">
        <v>44621</v>
      </c>
    </row>
    <row r="18" spans="2:5">
      <c r="C18" s="196" t="s">
        <v>452</v>
      </c>
      <c r="D18" s="212">
        <v>366</v>
      </c>
    </row>
    <row r="19" spans="2:5">
      <c r="C19" s="196" t="s">
        <v>453</v>
      </c>
      <c r="D19" s="300" t="s">
        <v>454</v>
      </c>
    </row>
    <row r="21" spans="2:5">
      <c r="B21" s="103" t="s">
        <v>351</v>
      </c>
      <c r="C21" s="192" t="s">
        <v>312</v>
      </c>
      <c r="D21" s="187"/>
      <c r="E21" s="187"/>
    </row>
    <row r="22" spans="2:5" ht="32.25" customHeight="1">
      <c r="C22" s="508" t="s">
        <v>343</v>
      </c>
      <c r="D22" s="508"/>
      <c r="E22" s="508"/>
    </row>
    <row r="23" spans="2:5">
      <c r="C23" s="187"/>
      <c r="D23" s="187"/>
      <c r="E23" s="187"/>
    </row>
    <row r="24" spans="2:5">
      <c r="B24" s="115" t="s">
        <v>313</v>
      </c>
      <c r="C24" s="193" t="s">
        <v>314</v>
      </c>
      <c r="D24" s="187"/>
      <c r="E24" s="187"/>
    </row>
    <row r="25" spans="2:5">
      <c r="C25" s="194" t="s">
        <v>342</v>
      </c>
      <c r="D25" s="187"/>
      <c r="E25" s="187"/>
    </row>
    <row r="26" spans="2:5">
      <c r="C26" s="187"/>
      <c r="D26" s="187"/>
      <c r="E26" s="187"/>
    </row>
    <row r="27" spans="2:5">
      <c r="B27" s="103" t="s">
        <v>352</v>
      </c>
      <c r="C27" s="186" t="s">
        <v>315</v>
      </c>
      <c r="D27" s="187"/>
      <c r="E27" s="187"/>
    </row>
    <row r="28" spans="2:5" ht="26.4">
      <c r="C28" s="190" t="s">
        <v>455</v>
      </c>
      <c r="D28" s="187"/>
      <c r="E28" s="187"/>
    </row>
    <row r="29" spans="2:5">
      <c r="C29" s="187"/>
      <c r="D29" s="187"/>
      <c r="E29" s="187"/>
    </row>
    <row r="30" spans="2:5">
      <c r="B30" s="103" t="s">
        <v>316</v>
      </c>
      <c r="C30" s="195" t="s">
        <v>317</v>
      </c>
      <c r="D30" s="187"/>
      <c r="E30" s="187"/>
    </row>
    <row r="31" spans="2:5">
      <c r="C31" s="190" t="s">
        <v>391</v>
      </c>
      <c r="D31" s="187"/>
      <c r="E31" s="187"/>
    </row>
    <row r="32" spans="2:5">
      <c r="C32" s="187"/>
      <c r="D32" s="187"/>
      <c r="E32" s="187"/>
    </row>
    <row r="33" spans="2:5">
      <c r="B33" s="103" t="s">
        <v>318</v>
      </c>
      <c r="C33" s="186" t="s">
        <v>319</v>
      </c>
      <c r="D33" s="187"/>
      <c r="E33" s="187"/>
    </row>
    <row r="34" spans="2:5">
      <c r="C34" s="194" t="s">
        <v>341</v>
      </c>
      <c r="D34" s="187"/>
      <c r="E34" s="187"/>
    </row>
    <row r="36" spans="2:5">
      <c r="C36" s="154"/>
    </row>
    <row r="37" spans="2:5">
      <c r="C37" s="155"/>
    </row>
    <row r="38" spans="2:5">
      <c r="C38" s="156"/>
    </row>
  </sheetData>
  <mergeCells count="8">
    <mergeCell ref="C22:E22"/>
    <mergeCell ref="C8:E8"/>
    <mergeCell ref="C2:E2"/>
    <mergeCell ref="C3:E3"/>
    <mergeCell ref="C4:E4"/>
    <mergeCell ref="C6:E6"/>
    <mergeCell ref="C7:D7"/>
    <mergeCell ref="C10:D10"/>
  </mergeCells>
  <pageMargins left="0.70866141732283472" right="0.70866141732283472" top="1.3385826771653544" bottom="0.74803149606299213" header="0.31496062992125984" footer="0.31496062992125984"/>
  <pageSetup scale="57" orientation="portrait" r:id="rId1"/>
  <colBreaks count="1" manualBreakCount="1">
    <brk id="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3:N260"/>
  <sheetViews>
    <sheetView showGridLines="0" topLeftCell="A217" zoomScale="102" zoomScaleNormal="102" workbookViewId="0">
      <selection activeCell="D256" sqref="D256:H256"/>
    </sheetView>
  </sheetViews>
  <sheetFormatPr baseColWidth="10" defaultColWidth="10.6640625" defaultRowHeight="14.4"/>
  <cols>
    <col min="1" max="1" width="3.6640625" customWidth="1"/>
    <col min="2" max="2" width="3.5546875" customWidth="1"/>
    <col min="3" max="3" width="26.33203125" customWidth="1"/>
    <col min="4" max="4" width="20.6640625" customWidth="1"/>
    <col min="5" max="5" width="14.33203125" style="50" bestFit="1" customWidth="1"/>
    <col min="6" max="7" width="4.33203125" style="50" bestFit="1" customWidth="1"/>
    <col min="8" max="8" width="7.5546875" bestFit="1" customWidth="1"/>
    <col min="9" max="9" width="5.5546875" style="261" bestFit="1" customWidth="1"/>
    <col min="10" max="10" width="18.33203125" style="228" bestFit="1" customWidth="1"/>
    <col min="11" max="11" width="15.33203125" bestFit="1" customWidth="1"/>
    <col min="12" max="12" width="11.6640625" bestFit="1" customWidth="1"/>
    <col min="13" max="13" width="25.6640625" bestFit="1" customWidth="1"/>
    <col min="14" max="14" width="10.6640625" style="39"/>
  </cols>
  <sheetData>
    <row r="3" spans="2:14">
      <c r="B3" s="432" t="s">
        <v>0</v>
      </c>
      <c r="C3" s="433"/>
      <c r="D3" s="433"/>
      <c r="E3" s="433"/>
      <c r="F3" s="433"/>
      <c r="G3" s="433"/>
      <c r="H3" s="433"/>
      <c r="I3" s="433"/>
      <c r="J3" s="433"/>
    </row>
    <row r="4" spans="2:14">
      <c r="B4" s="434" t="s">
        <v>762</v>
      </c>
      <c r="C4" s="434"/>
      <c r="D4" s="434"/>
      <c r="E4" s="434"/>
      <c r="F4" s="434"/>
      <c r="G4" s="434"/>
      <c r="H4" s="434"/>
      <c r="I4" s="434"/>
      <c r="J4" s="434"/>
    </row>
    <row r="5" spans="2:14" ht="6.6" customHeight="1">
      <c r="I5" s="257"/>
    </row>
    <row r="6" spans="2:14">
      <c r="B6" s="176" t="s">
        <v>392</v>
      </c>
      <c r="C6" s="176"/>
      <c r="D6" s="176"/>
      <c r="E6" s="176"/>
      <c r="F6" s="176"/>
      <c r="G6" s="176"/>
      <c r="H6" s="176"/>
      <c r="I6" s="258"/>
      <c r="J6" s="256"/>
    </row>
    <row r="7" spans="2:14" s="50" customFormat="1" ht="6" customHeight="1">
      <c r="B7" s="177"/>
      <c r="C7" s="177"/>
      <c r="D7" s="177"/>
      <c r="E7" s="177"/>
      <c r="F7" s="177"/>
      <c r="G7" s="177"/>
      <c r="H7" s="177"/>
      <c r="I7" s="259"/>
      <c r="J7" s="228"/>
      <c r="N7" s="39"/>
    </row>
    <row r="8" spans="2:14" s="50" customFormat="1">
      <c r="B8" s="178" t="s">
        <v>393</v>
      </c>
      <c r="C8" s="178"/>
      <c r="D8" s="178" t="s">
        <v>448</v>
      </c>
      <c r="E8" s="178"/>
      <c r="F8" s="178"/>
      <c r="G8" s="178"/>
      <c r="H8" s="177"/>
      <c r="I8" s="259"/>
      <c r="J8" s="228"/>
      <c r="N8" s="39"/>
    </row>
    <row r="9" spans="2:14" s="50" customFormat="1">
      <c r="B9" s="178" t="s">
        <v>401</v>
      </c>
      <c r="C9" s="178"/>
      <c r="D9" s="178" t="s">
        <v>466</v>
      </c>
      <c r="E9" s="178"/>
      <c r="F9" s="178"/>
      <c r="G9" s="178"/>
      <c r="H9" s="177"/>
      <c r="I9" s="259"/>
      <c r="J9" s="228"/>
      <c r="N9" s="39"/>
    </row>
    <row r="10" spans="2:14" s="50" customFormat="1">
      <c r="B10" s="178" t="s">
        <v>394</v>
      </c>
      <c r="C10" s="178"/>
      <c r="D10" s="373" t="s">
        <v>715</v>
      </c>
      <c r="E10" s="178"/>
      <c r="F10" s="178"/>
      <c r="G10" s="178"/>
      <c r="H10" s="177"/>
      <c r="I10" s="259"/>
      <c r="J10" s="228"/>
      <c r="N10" s="39"/>
    </row>
    <row r="11" spans="2:14" s="50" customFormat="1">
      <c r="B11" s="178" t="s">
        <v>395</v>
      </c>
      <c r="C11" s="178"/>
      <c r="D11" s="374">
        <v>1</v>
      </c>
      <c r="E11" s="178"/>
      <c r="F11" s="178"/>
      <c r="G11" s="178"/>
      <c r="H11" s="178"/>
      <c r="I11" s="259"/>
      <c r="J11" s="228"/>
      <c r="N11" s="39"/>
    </row>
    <row r="12" spans="2:14" s="50" customFormat="1">
      <c r="B12" s="178" t="s">
        <v>396</v>
      </c>
      <c r="C12" s="178"/>
      <c r="D12" s="251" t="s">
        <v>467</v>
      </c>
      <c r="E12" s="251"/>
      <c r="F12" s="251"/>
      <c r="G12" s="251"/>
      <c r="H12" s="177"/>
      <c r="I12" s="259"/>
      <c r="J12" s="228"/>
      <c r="N12" s="39"/>
    </row>
    <row r="13" spans="2:14" s="50" customFormat="1">
      <c r="B13" s="178" t="s">
        <v>397</v>
      </c>
      <c r="C13" s="178"/>
      <c r="D13" s="178" t="s">
        <v>468</v>
      </c>
      <c r="E13" s="178"/>
      <c r="F13" s="178"/>
      <c r="G13" s="178"/>
      <c r="H13" s="177"/>
      <c r="I13" s="259"/>
      <c r="J13" s="228"/>
      <c r="N13" s="39"/>
    </row>
    <row r="14" spans="2:14" s="50" customFormat="1">
      <c r="B14" s="178" t="s">
        <v>398</v>
      </c>
      <c r="C14" s="178"/>
      <c r="D14" s="178" t="s">
        <v>469</v>
      </c>
      <c r="E14" s="178"/>
      <c r="F14" s="178"/>
      <c r="G14" s="178"/>
      <c r="H14" s="177"/>
      <c r="I14" s="259"/>
      <c r="J14" s="228"/>
      <c r="N14" s="39"/>
    </row>
    <row r="15" spans="2:14" s="50" customFormat="1">
      <c r="B15" s="178" t="s">
        <v>399</v>
      </c>
      <c r="C15" s="178"/>
      <c r="D15" s="178" t="s">
        <v>470</v>
      </c>
      <c r="E15" s="178"/>
      <c r="F15" s="178"/>
      <c r="G15" s="178"/>
      <c r="H15" s="177"/>
      <c r="I15" s="259"/>
      <c r="J15" s="228"/>
      <c r="N15" s="39"/>
    </row>
    <row r="16" spans="2:14" s="50" customFormat="1">
      <c r="B16" s="178" t="s">
        <v>400</v>
      </c>
      <c r="C16" s="178"/>
      <c r="D16" s="251" t="s">
        <v>467</v>
      </c>
      <c r="E16" s="251"/>
      <c r="F16" s="251"/>
      <c r="G16" s="251"/>
      <c r="H16" s="177"/>
      <c r="I16" s="259"/>
      <c r="J16" s="228"/>
      <c r="N16" s="39"/>
    </row>
    <row r="17" spans="2:14" s="50" customFormat="1" ht="8.6999999999999993" customHeight="1">
      <c r="B17" s="177"/>
      <c r="C17" s="177"/>
      <c r="D17" s="177"/>
      <c r="E17" s="177"/>
      <c r="F17" s="177"/>
      <c r="G17" s="177"/>
      <c r="H17" s="177"/>
      <c r="I17" s="259"/>
      <c r="J17" s="228"/>
      <c r="N17" s="39"/>
    </row>
    <row r="18" spans="2:14" s="50" customFormat="1">
      <c r="B18" s="176" t="s">
        <v>402</v>
      </c>
      <c r="C18" s="176"/>
      <c r="D18" s="176"/>
      <c r="E18" s="176"/>
      <c r="F18" s="176"/>
      <c r="G18" s="176"/>
      <c r="H18" s="176"/>
      <c r="I18" s="258"/>
      <c r="J18" s="256"/>
      <c r="N18" s="39"/>
    </row>
    <row r="19" spans="2:14" s="50" customFormat="1" ht="8.6999999999999993" customHeight="1">
      <c r="B19" s="179"/>
      <c r="C19" s="179"/>
      <c r="D19" s="179"/>
      <c r="E19" s="179"/>
      <c r="F19" s="179"/>
      <c r="G19" s="179"/>
      <c r="H19" s="179"/>
      <c r="I19" s="260"/>
      <c r="J19" s="228"/>
      <c r="N19" s="39"/>
    </row>
    <row r="20" spans="2:14" s="353" customFormat="1" ht="29.4" customHeight="1">
      <c r="B20" s="435" t="s">
        <v>702</v>
      </c>
      <c r="C20" s="435"/>
      <c r="D20" s="435"/>
      <c r="E20" s="435"/>
      <c r="F20" s="435"/>
      <c r="G20" s="435"/>
      <c r="H20" s="435"/>
      <c r="I20" s="435"/>
      <c r="J20" s="435"/>
      <c r="K20" s="398"/>
    </row>
    <row r="21" spans="2:14" s="353" customFormat="1" ht="51.6" customHeight="1">
      <c r="B21" s="436" t="s">
        <v>459</v>
      </c>
      <c r="C21" s="436"/>
      <c r="D21" s="436"/>
      <c r="E21" s="436"/>
      <c r="F21" s="436"/>
      <c r="G21" s="436"/>
      <c r="H21" s="436"/>
      <c r="I21" s="436"/>
      <c r="J21" s="436"/>
      <c r="K21" s="398"/>
    </row>
    <row r="22" spans="2:14" s="353" customFormat="1" ht="29.4" customHeight="1">
      <c r="B22" s="436" t="s">
        <v>144</v>
      </c>
      <c r="C22" s="436"/>
      <c r="D22" s="436"/>
      <c r="E22" s="436"/>
      <c r="F22" s="436"/>
      <c r="G22" s="436"/>
      <c r="H22" s="436"/>
      <c r="I22" s="436"/>
      <c r="J22" s="436"/>
      <c r="K22" s="398"/>
    </row>
    <row r="23" spans="2:14" s="353" customFormat="1" ht="48" customHeight="1">
      <c r="B23" s="436" t="s">
        <v>145</v>
      </c>
      <c r="C23" s="436"/>
      <c r="D23" s="436"/>
      <c r="E23" s="436"/>
      <c r="F23" s="436"/>
      <c r="G23" s="436"/>
      <c r="H23" s="436"/>
      <c r="I23" s="436"/>
      <c r="J23" s="436"/>
      <c r="K23" s="398"/>
    </row>
    <row r="24" spans="2:14" s="50" customFormat="1" ht="37.950000000000003" customHeight="1">
      <c r="B24" s="443" t="s">
        <v>481</v>
      </c>
      <c r="C24" s="443"/>
      <c r="D24" s="443"/>
      <c r="E24" s="443"/>
      <c r="F24" s="443"/>
      <c r="G24" s="443"/>
      <c r="H24" s="443"/>
      <c r="I24" s="443"/>
      <c r="J24" s="443"/>
      <c r="N24" s="39"/>
    </row>
    <row r="25" spans="2:14">
      <c r="B25" s="443"/>
      <c r="C25" s="443"/>
      <c r="D25" s="443"/>
      <c r="E25" s="443"/>
      <c r="F25" s="443"/>
      <c r="G25" s="443"/>
      <c r="H25" s="443"/>
      <c r="I25" s="443"/>
      <c r="J25" s="443"/>
    </row>
    <row r="26" spans="2:14">
      <c r="B26" s="443"/>
      <c r="C26" s="443"/>
      <c r="D26" s="443"/>
      <c r="E26" s="443"/>
      <c r="F26" s="443"/>
      <c r="G26" s="443"/>
      <c r="H26" s="443"/>
      <c r="I26" s="443"/>
      <c r="J26" s="443"/>
    </row>
    <row r="27" spans="2:14" ht="28.5" customHeight="1">
      <c r="B27" s="443"/>
      <c r="C27" s="443"/>
      <c r="D27" s="443"/>
      <c r="E27" s="443"/>
      <c r="F27" s="443"/>
      <c r="G27" s="443"/>
      <c r="H27" s="443"/>
      <c r="I27" s="443"/>
      <c r="J27" s="443"/>
    </row>
    <row r="28" spans="2:14" s="50" customFormat="1" ht="9.6" customHeight="1">
      <c r="B28" s="2"/>
      <c r="C28" s="437"/>
      <c r="D28" s="437"/>
      <c r="E28" s="437"/>
      <c r="F28" s="437"/>
      <c r="G28" s="437"/>
      <c r="H28" s="437"/>
      <c r="I28" s="437"/>
      <c r="J28" s="228"/>
      <c r="N28" s="39"/>
    </row>
    <row r="29" spans="2:14">
      <c r="B29" s="176" t="s">
        <v>403</v>
      </c>
      <c r="C29" s="176"/>
      <c r="D29" s="176"/>
      <c r="E29" s="176"/>
      <c r="F29" s="176"/>
      <c r="G29" s="176"/>
      <c r="H29" s="176"/>
      <c r="I29" s="258"/>
      <c r="J29" s="256"/>
    </row>
    <row r="30" spans="2:14">
      <c r="B30" s="2"/>
      <c r="C30" s="135"/>
    </row>
    <row r="31" spans="2:14">
      <c r="B31" s="428" t="s">
        <v>1</v>
      </c>
      <c r="C31" s="428"/>
      <c r="D31" s="184" t="s">
        <v>2</v>
      </c>
      <c r="E31" s="222"/>
      <c r="F31" s="222"/>
      <c r="G31" s="222"/>
      <c r="H31" s="184"/>
      <c r="I31" s="262"/>
    </row>
    <row r="32" spans="2:14">
      <c r="B32" s="428" t="s">
        <v>404</v>
      </c>
      <c r="C32" s="428"/>
      <c r="D32" s="428"/>
      <c r="E32" s="222"/>
      <c r="F32" s="222"/>
      <c r="G32" s="222"/>
      <c r="H32" s="181"/>
      <c r="I32" s="263"/>
    </row>
    <row r="33" spans="2:14" ht="14.7" customHeight="1">
      <c r="B33" s="429" t="s">
        <v>405</v>
      </c>
      <c r="C33" s="429"/>
      <c r="D33" s="430" t="s">
        <v>471</v>
      </c>
      <c r="E33" s="430"/>
      <c r="F33" s="430"/>
      <c r="G33" s="430"/>
      <c r="H33" s="430"/>
      <c r="I33" s="430"/>
    </row>
    <row r="34" spans="2:14" ht="14.7" customHeight="1">
      <c r="B34" s="429" t="s">
        <v>406</v>
      </c>
      <c r="C34" s="429"/>
      <c r="D34" s="430" t="s">
        <v>472</v>
      </c>
      <c r="E34" s="430"/>
      <c r="F34" s="430"/>
      <c r="G34" s="430"/>
      <c r="H34" s="430"/>
      <c r="I34" s="430"/>
    </row>
    <row r="35" spans="2:14" ht="14.7" customHeight="1">
      <c r="B35" s="429" t="s">
        <v>474</v>
      </c>
      <c r="C35" s="429"/>
      <c r="D35" s="430" t="s">
        <v>473</v>
      </c>
      <c r="E35" s="430"/>
      <c r="F35" s="430"/>
      <c r="G35" s="430"/>
      <c r="H35" s="430"/>
      <c r="I35" s="430"/>
    </row>
    <row r="36" spans="2:14" s="50" customFormat="1" ht="14.7" customHeight="1">
      <c r="B36" s="429" t="s">
        <v>475</v>
      </c>
      <c r="C36" s="429"/>
      <c r="D36" s="221" t="s">
        <v>476</v>
      </c>
      <c r="E36" s="221"/>
      <c r="F36" s="221"/>
      <c r="G36" s="221"/>
      <c r="H36" s="221"/>
      <c r="I36" s="264"/>
      <c r="J36" s="228"/>
      <c r="N36" s="39"/>
    </row>
    <row r="37" spans="2:14" s="50" customFormat="1" ht="14.7" customHeight="1">
      <c r="B37" s="429" t="s">
        <v>475</v>
      </c>
      <c r="C37" s="431"/>
      <c r="D37" s="221" t="s">
        <v>477</v>
      </c>
      <c r="E37" s="221"/>
      <c r="F37" s="221"/>
      <c r="G37" s="221"/>
      <c r="H37" s="221"/>
      <c r="I37" s="264"/>
      <c r="J37" s="228"/>
      <c r="N37" s="39"/>
    </row>
    <row r="38" spans="2:14" s="50" customFormat="1" ht="6.6" customHeight="1">
      <c r="B38" s="180"/>
      <c r="C38" s="180"/>
      <c r="D38" s="182"/>
      <c r="E38" s="221"/>
      <c r="F38" s="221"/>
      <c r="G38" s="221"/>
      <c r="H38" s="182"/>
      <c r="I38" s="264"/>
      <c r="J38" s="228"/>
      <c r="N38" s="39"/>
    </row>
    <row r="39" spans="2:14" s="50" customFormat="1" ht="16.2" customHeight="1">
      <c r="B39" s="428" t="s">
        <v>380</v>
      </c>
      <c r="C39" s="428"/>
      <c r="D39" s="430" t="s">
        <v>478</v>
      </c>
      <c r="E39" s="430"/>
      <c r="F39" s="430"/>
      <c r="G39" s="430"/>
      <c r="H39" s="430"/>
      <c r="I39" s="264"/>
      <c r="J39" s="228"/>
      <c r="N39" s="39"/>
    </row>
    <row r="40" spans="2:14" ht="16.2" customHeight="1">
      <c r="B40" s="428" t="s">
        <v>479</v>
      </c>
      <c r="C40" s="428"/>
      <c r="D40" s="430" t="s">
        <v>480</v>
      </c>
      <c r="E40" s="430"/>
      <c r="F40" s="430"/>
      <c r="G40" s="430"/>
      <c r="H40" s="430"/>
      <c r="I40" s="264"/>
    </row>
    <row r="41" spans="2:14" s="50" customFormat="1" ht="6.6" customHeight="1">
      <c r="B41" s="180"/>
      <c r="C41" s="180"/>
      <c r="D41" s="182"/>
      <c r="E41" s="221"/>
      <c r="F41" s="221"/>
      <c r="G41" s="221"/>
      <c r="H41" s="182"/>
      <c r="I41" s="264"/>
      <c r="J41" s="228"/>
      <c r="N41" s="39"/>
    </row>
    <row r="42" spans="2:14" ht="14.7" customHeight="1">
      <c r="B42" s="428" t="s">
        <v>407</v>
      </c>
      <c r="C42" s="428"/>
      <c r="D42" s="183"/>
      <c r="E42" s="183"/>
      <c r="F42" s="183"/>
      <c r="G42" s="183"/>
      <c r="H42" s="183"/>
      <c r="I42" s="265"/>
    </row>
    <row r="43" spans="2:14" s="50" customFormat="1" ht="14.7" customHeight="1">
      <c r="B43" s="429" t="s">
        <v>3</v>
      </c>
      <c r="C43" s="429"/>
      <c r="D43" s="430" t="s">
        <v>471</v>
      </c>
      <c r="E43" s="430"/>
      <c r="F43" s="430"/>
      <c r="G43" s="430"/>
      <c r="H43" s="430"/>
      <c r="I43" s="430"/>
      <c r="J43" s="228"/>
      <c r="N43" s="39"/>
    </row>
    <row r="44" spans="2:14" s="50" customFormat="1" ht="14.7" customHeight="1">
      <c r="B44" s="429" t="s">
        <v>4</v>
      </c>
      <c r="C44" s="429"/>
      <c r="D44" s="430" t="s">
        <v>472</v>
      </c>
      <c r="E44" s="430"/>
      <c r="F44" s="430"/>
      <c r="G44" s="430"/>
      <c r="H44" s="430"/>
      <c r="I44" s="430"/>
      <c r="J44" s="228"/>
      <c r="N44" s="39"/>
    </row>
    <row r="45" spans="2:14" s="50" customFormat="1" ht="14.7" customHeight="1">
      <c r="B45" s="429" t="s">
        <v>408</v>
      </c>
      <c r="C45" s="429"/>
      <c r="D45" s="180" t="s">
        <v>510</v>
      </c>
      <c r="E45" s="223"/>
      <c r="F45" s="223"/>
      <c r="G45" s="223"/>
      <c r="H45" s="183"/>
      <c r="I45" s="265"/>
      <c r="J45" s="228"/>
      <c r="N45" s="39"/>
    </row>
    <row r="46" spans="2:14" s="50" customFormat="1" ht="14.7" customHeight="1">
      <c r="B46" s="429" t="s">
        <v>409</v>
      </c>
      <c r="C46" s="429"/>
      <c r="D46" s="180" t="s">
        <v>410</v>
      </c>
      <c r="E46" s="223"/>
      <c r="F46" s="223"/>
      <c r="G46" s="223"/>
      <c r="H46" s="183"/>
      <c r="I46" s="265"/>
      <c r="J46" s="228"/>
      <c r="N46" s="39"/>
    </row>
    <row r="47" spans="2:14" s="50" customFormat="1">
      <c r="B47" s="185"/>
      <c r="C47" s="185"/>
      <c r="D47" s="183"/>
      <c r="E47" s="183"/>
      <c r="F47" s="183"/>
      <c r="G47" s="183"/>
      <c r="H47" s="183"/>
      <c r="I47" s="265"/>
      <c r="J47" s="228"/>
      <c r="N47" s="39"/>
    </row>
    <row r="48" spans="2:14">
      <c r="B48" s="176" t="s">
        <v>411</v>
      </c>
      <c r="C48" s="176"/>
      <c r="D48" s="176"/>
      <c r="E48" s="176"/>
      <c r="F48" s="176"/>
      <c r="G48" s="176"/>
      <c r="H48" s="176"/>
      <c r="I48" s="258"/>
      <c r="J48" s="256"/>
    </row>
    <row r="49" spans="2:14" ht="14.7" customHeight="1">
      <c r="B49" s="444" t="s">
        <v>615</v>
      </c>
      <c r="C49" s="444"/>
      <c r="D49" s="444"/>
      <c r="E49" s="444"/>
      <c r="F49" s="444"/>
      <c r="G49" s="444"/>
      <c r="H49" s="444"/>
      <c r="I49" s="444"/>
      <c r="J49" s="444"/>
    </row>
    <row r="50" spans="2:14">
      <c r="B50" s="444"/>
      <c r="C50" s="444"/>
      <c r="D50" s="444"/>
      <c r="E50" s="444"/>
      <c r="F50" s="444"/>
      <c r="G50" s="444"/>
      <c r="H50" s="444"/>
      <c r="I50" s="444"/>
      <c r="J50" s="444"/>
    </row>
    <row r="51" spans="2:14">
      <c r="B51" s="444"/>
      <c r="C51" s="444"/>
      <c r="D51" s="444"/>
      <c r="E51" s="444"/>
      <c r="F51" s="444"/>
      <c r="G51" s="444"/>
      <c r="H51" s="444"/>
      <c r="I51" s="444"/>
      <c r="J51" s="444"/>
    </row>
    <row r="52" spans="2:14" ht="16.2" customHeight="1">
      <c r="B52" s="444"/>
      <c r="C52" s="444"/>
      <c r="D52" s="444"/>
      <c r="E52" s="444"/>
      <c r="F52" s="444"/>
      <c r="G52" s="444"/>
      <c r="H52" s="444"/>
      <c r="I52" s="444"/>
      <c r="J52" s="444"/>
    </row>
    <row r="53" spans="2:14">
      <c r="B53" s="426" t="s">
        <v>364</v>
      </c>
      <c r="C53" s="427"/>
      <c r="D53" s="213">
        <v>6500000000</v>
      </c>
      <c r="E53" s="252"/>
      <c r="F53" s="252"/>
      <c r="G53" s="252"/>
    </row>
    <row r="54" spans="2:14">
      <c r="B54" s="426" t="s">
        <v>365</v>
      </c>
      <c r="C54" s="427"/>
      <c r="D54" s="214" t="s">
        <v>482</v>
      </c>
      <c r="E54" s="253"/>
      <c r="F54" s="253"/>
      <c r="G54" s="253"/>
    </row>
    <row r="55" spans="2:14">
      <c r="B55" s="426" t="s">
        <v>376</v>
      </c>
      <c r="C55" s="427"/>
      <c r="D55" s="214" t="str">
        <f>+D54</f>
        <v>G.3.332.300.000</v>
      </c>
      <c r="E55" s="253"/>
      <c r="F55" s="253"/>
      <c r="G55" s="253"/>
    </row>
    <row r="56" spans="2:14">
      <c r="B56" s="426" t="s">
        <v>5</v>
      </c>
      <c r="C56" s="442"/>
      <c r="D56" s="213">
        <v>3167700000</v>
      </c>
      <c r="E56" s="252"/>
      <c r="F56" s="252"/>
      <c r="G56" s="252"/>
    </row>
    <row r="58" spans="2:14">
      <c r="B58" s="215" t="s">
        <v>429</v>
      </c>
      <c r="C58" s="215"/>
      <c r="D58" s="215"/>
      <c r="E58" s="215"/>
      <c r="F58" s="215"/>
      <c r="G58" s="215"/>
      <c r="H58" s="181"/>
    </row>
    <row r="59" spans="2:14" ht="4.95" customHeight="1"/>
    <row r="60" spans="2:14" ht="18.600000000000001" customHeight="1">
      <c r="B60" s="254" t="s">
        <v>366</v>
      </c>
      <c r="C60" s="254" t="s">
        <v>367</v>
      </c>
      <c r="D60" s="254" t="s">
        <v>368</v>
      </c>
      <c r="E60" s="254" t="s">
        <v>483</v>
      </c>
      <c r="F60" s="254" t="s">
        <v>484</v>
      </c>
      <c r="G60" s="254" t="s">
        <v>485</v>
      </c>
      <c r="H60" s="254" t="s">
        <v>369</v>
      </c>
      <c r="I60" s="266" t="s">
        <v>370</v>
      </c>
      <c r="J60" s="255" t="s">
        <v>371</v>
      </c>
      <c r="K60" s="255" t="s">
        <v>431</v>
      </c>
      <c r="L60" s="254" t="s">
        <v>372</v>
      </c>
      <c r="M60" s="255" t="s">
        <v>373</v>
      </c>
    </row>
    <row r="61" spans="2:14">
      <c r="B61" s="440">
        <v>1</v>
      </c>
      <c r="C61" s="440" t="s">
        <v>486</v>
      </c>
      <c r="D61" s="216" t="s">
        <v>487</v>
      </c>
      <c r="E61" s="216" t="s">
        <v>490</v>
      </c>
      <c r="F61" s="216">
        <v>151</v>
      </c>
      <c r="G61" s="216">
        <v>160</v>
      </c>
      <c r="H61" s="216" t="s">
        <v>374</v>
      </c>
      <c r="I61" s="267">
        <f t="shared" ref="I61:I124" si="0">IF(H61="Ordinaria",+J61,0)</f>
        <v>10</v>
      </c>
      <c r="J61" s="216">
        <v>10</v>
      </c>
      <c r="K61" s="268">
        <f>+I61</f>
        <v>10</v>
      </c>
      <c r="L61" s="218">
        <f t="shared" ref="L61:L124" si="1">J61*100000</f>
        <v>1000000</v>
      </c>
      <c r="M61" s="219">
        <f t="shared" ref="M61:M92" si="2">+L61/$L$237</f>
        <v>3.0009302883894005E-4</v>
      </c>
      <c r="N61" s="39" t="s">
        <v>374</v>
      </c>
    </row>
    <row r="62" spans="2:14" s="50" customFormat="1">
      <c r="B62" s="440"/>
      <c r="C62" s="440"/>
      <c r="D62" s="216" t="s">
        <v>488</v>
      </c>
      <c r="E62" s="216" t="s">
        <v>490</v>
      </c>
      <c r="F62" s="216">
        <v>182</v>
      </c>
      <c r="G62" s="216">
        <v>200</v>
      </c>
      <c r="H62" s="216" t="s">
        <v>374</v>
      </c>
      <c r="I62" s="267">
        <f t="shared" si="0"/>
        <v>19</v>
      </c>
      <c r="J62" s="216">
        <v>19</v>
      </c>
      <c r="K62" s="268">
        <f t="shared" ref="K62:K125" si="3">+I62</f>
        <v>19</v>
      </c>
      <c r="L62" s="218">
        <f t="shared" si="1"/>
        <v>1900000</v>
      </c>
      <c r="M62" s="219">
        <f t="shared" si="2"/>
        <v>5.7017675479398614E-4</v>
      </c>
      <c r="N62" s="39" t="s">
        <v>374</v>
      </c>
    </row>
    <row r="63" spans="2:14" s="50" customFormat="1">
      <c r="B63" s="440"/>
      <c r="C63" s="440"/>
      <c r="D63" s="216" t="s">
        <v>489</v>
      </c>
      <c r="E63" s="216" t="s">
        <v>491</v>
      </c>
      <c r="F63" s="216">
        <v>1</v>
      </c>
      <c r="G63" s="216">
        <v>12</v>
      </c>
      <c r="H63" s="216" t="s">
        <v>374</v>
      </c>
      <c r="I63" s="267">
        <f t="shared" si="0"/>
        <v>12</v>
      </c>
      <c r="J63" s="216">
        <v>12</v>
      </c>
      <c r="K63" s="268">
        <f t="shared" si="3"/>
        <v>12</v>
      </c>
      <c r="L63" s="218">
        <f t="shared" si="1"/>
        <v>1200000</v>
      </c>
      <c r="M63" s="219">
        <f t="shared" si="2"/>
        <v>3.601116346067281E-4</v>
      </c>
      <c r="N63" s="39" t="s">
        <v>374</v>
      </c>
    </row>
    <row r="64" spans="2:14" s="50" customFormat="1">
      <c r="B64" s="440">
        <v>2</v>
      </c>
      <c r="C64" s="440" t="s">
        <v>492</v>
      </c>
      <c r="D64" s="216" t="s">
        <v>488</v>
      </c>
      <c r="E64" s="216" t="s">
        <v>493</v>
      </c>
      <c r="F64" s="216">
        <v>1</v>
      </c>
      <c r="G64" s="216">
        <v>2</v>
      </c>
      <c r="H64" s="216" t="s">
        <v>374</v>
      </c>
      <c r="I64" s="267">
        <f t="shared" si="0"/>
        <v>2</v>
      </c>
      <c r="J64" s="216">
        <v>2</v>
      </c>
      <c r="K64" s="268">
        <f t="shared" si="3"/>
        <v>2</v>
      </c>
      <c r="L64" s="218">
        <f t="shared" si="1"/>
        <v>200000</v>
      </c>
      <c r="M64" s="219">
        <f t="shared" si="2"/>
        <v>6.0018605767788016E-5</v>
      </c>
      <c r="N64" s="39" t="s">
        <v>374</v>
      </c>
    </row>
    <row r="65" spans="2:14" s="50" customFormat="1">
      <c r="B65" s="440"/>
      <c r="C65" s="440"/>
      <c r="D65" s="216" t="s">
        <v>494</v>
      </c>
      <c r="E65" s="216" t="s">
        <v>493</v>
      </c>
      <c r="F65" s="216">
        <v>103</v>
      </c>
      <c r="G65" s="216">
        <v>200</v>
      </c>
      <c r="H65" s="216" t="s">
        <v>374</v>
      </c>
      <c r="I65" s="267">
        <f t="shared" si="0"/>
        <v>98</v>
      </c>
      <c r="J65" s="216">
        <v>98</v>
      </c>
      <c r="K65" s="268">
        <f t="shared" si="3"/>
        <v>98</v>
      </c>
      <c r="L65" s="218">
        <f t="shared" si="1"/>
        <v>9800000</v>
      </c>
      <c r="M65" s="219">
        <f t="shared" si="2"/>
        <v>2.9409116826216125E-3</v>
      </c>
      <c r="N65" s="39" t="s">
        <v>374</v>
      </c>
    </row>
    <row r="66" spans="2:14" s="50" customFormat="1">
      <c r="B66" s="440"/>
      <c r="C66" s="440"/>
      <c r="D66" s="216" t="s">
        <v>488</v>
      </c>
      <c r="E66" s="216" t="s">
        <v>495</v>
      </c>
      <c r="F66" s="216">
        <v>3</v>
      </c>
      <c r="G66" s="216">
        <v>52</v>
      </c>
      <c r="H66" s="216" t="s">
        <v>374</v>
      </c>
      <c r="I66" s="267">
        <f t="shared" si="0"/>
        <v>50</v>
      </c>
      <c r="J66" s="216">
        <v>50</v>
      </c>
      <c r="K66" s="268">
        <f t="shared" si="3"/>
        <v>50</v>
      </c>
      <c r="L66" s="218">
        <f t="shared" si="1"/>
        <v>5000000</v>
      </c>
      <c r="M66" s="219">
        <f t="shared" si="2"/>
        <v>1.5004651441947003E-3</v>
      </c>
      <c r="N66" s="39" t="s">
        <v>374</v>
      </c>
    </row>
    <row r="67" spans="2:14" s="50" customFormat="1">
      <c r="B67" s="440"/>
      <c r="C67" s="440"/>
      <c r="D67" s="216" t="s">
        <v>488</v>
      </c>
      <c r="E67" s="216" t="s">
        <v>496</v>
      </c>
      <c r="F67" s="216">
        <v>53</v>
      </c>
      <c r="G67" s="216">
        <v>102</v>
      </c>
      <c r="H67" s="216" t="s">
        <v>374</v>
      </c>
      <c r="I67" s="267">
        <f t="shared" si="0"/>
        <v>50</v>
      </c>
      <c r="J67" s="216">
        <v>50</v>
      </c>
      <c r="K67" s="268">
        <f t="shared" si="3"/>
        <v>50</v>
      </c>
      <c r="L67" s="218">
        <f t="shared" si="1"/>
        <v>5000000</v>
      </c>
      <c r="M67" s="219">
        <f t="shared" si="2"/>
        <v>1.5004651441947003E-3</v>
      </c>
      <c r="N67" s="39" t="s">
        <v>374</v>
      </c>
    </row>
    <row r="68" spans="2:14" s="50" customFormat="1">
      <c r="B68" s="440"/>
      <c r="C68" s="440"/>
      <c r="D68" s="216" t="s">
        <v>488</v>
      </c>
      <c r="E68" s="216" t="s">
        <v>497</v>
      </c>
      <c r="F68" s="216">
        <v>103</v>
      </c>
      <c r="G68" s="216">
        <v>107</v>
      </c>
      <c r="H68" s="216" t="s">
        <v>374</v>
      </c>
      <c r="I68" s="267">
        <f t="shared" si="0"/>
        <v>5</v>
      </c>
      <c r="J68" s="216">
        <v>5</v>
      </c>
      <c r="K68" s="268">
        <f t="shared" si="3"/>
        <v>5</v>
      </c>
      <c r="L68" s="218">
        <f t="shared" si="1"/>
        <v>500000</v>
      </c>
      <c r="M68" s="219">
        <f t="shared" si="2"/>
        <v>1.5004651441947003E-4</v>
      </c>
      <c r="N68" s="39" t="s">
        <v>374</v>
      </c>
    </row>
    <row r="69" spans="2:14" s="50" customFormat="1">
      <c r="B69" s="440"/>
      <c r="C69" s="440"/>
      <c r="D69" s="216" t="s">
        <v>488</v>
      </c>
      <c r="E69" s="216" t="s">
        <v>498</v>
      </c>
      <c r="F69" s="216">
        <v>108</v>
      </c>
      <c r="G69" s="216">
        <v>112</v>
      </c>
      <c r="H69" s="216" t="s">
        <v>374</v>
      </c>
      <c r="I69" s="267">
        <f t="shared" si="0"/>
        <v>5</v>
      </c>
      <c r="J69" s="216">
        <v>5</v>
      </c>
      <c r="K69" s="268">
        <f t="shared" si="3"/>
        <v>5</v>
      </c>
      <c r="L69" s="218">
        <f t="shared" si="1"/>
        <v>500000</v>
      </c>
      <c r="M69" s="219">
        <f t="shared" si="2"/>
        <v>1.5004651441947003E-4</v>
      </c>
      <c r="N69" s="39" t="s">
        <v>374</v>
      </c>
    </row>
    <row r="70" spans="2:14" s="50" customFormat="1">
      <c r="B70" s="440"/>
      <c r="C70" s="440"/>
      <c r="D70" s="216" t="s">
        <v>499</v>
      </c>
      <c r="E70" s="216" t="s">
        <v>496</v>
      </c>
      <c r="F70" s="216">
        <v>25</v>
      </c>
      <c r="G70" s="216">
        <v>230</v>
      </c>
      <c r="H70" s="216" t="s">
        <v>374</v>
      </c>
      <c r="I70" s="267">
        <f t="shared" si="0"/>
        <v>206</v>
      </c>
      <c r="J70" s="216">
        <v>206</v>
      </c>
      <c r="K70" s="268">
        <f t="shared" si="3"/>
        <v>206</v>
      </c>
      <c r="L70" s="218">
        <f t="shared" si="1"/>
        <v>20600000</v>
      </c>
      <c r="M70" s="219">
        <f t="shared" si="2"/>
        <v>6.1819163940821653E-3</v>
      </c>
      <c r="N70" s="39" t="s">
        <v>374</v>
      </c>
    </row>
    <row r="71" spans="2:14" s="50" customFormat="1">
      <c r="B71" s="440"/>
      <c r="C71" s="440"/>
      <c r="D71" s="216" t="s">
        <v>500</v>
      </c>
      <c r="E71" s="216" t="s">
        <v>501</v>
      </c>
      <c r="F71" s="216">
        <v>64</v>
      </c>
      <c r="G71" s="216">
        <v>269</v>
      </c>
      <c r="H71" s="216" t="s">
        <v>374</v>
      </c>
      <c r="I71" s="267">
        <f t="shared" si="0"/>
        <v>206</v>
      </c>
      <c r="J71" s="216">
        <v>206</v>
      </c>
      <c r="K71" s="268">
        <f t="shared" si="3"/>
        <v>206</v>
      </c>
      <c r="L71" s="218">
        <f t="shared" si="1"/>
        <v>20600000</v>
      </c>
      <c r="M71" s="219">
        <f t="shared" si="2"/>
        <v>6.1819163940821653E-3</v>
      </c>
      <c r="N71" s="39" t="s">
        <v>374</v>
      </c>
    </row>
    <row r="72" spans="2:14" s="50" customFormat="1">
      <c r="B72" s="440"/>
      <c r="C72" s="440"/>
      <c r="D72" s="216" t="s">
        <v>502</v>
      </c>
      <c r="E72" s="216" t="s">
        <v>503</v>
      </c>
      <c r="F72" s="216">
        <v>113</v>
      </c>
      <c r="G72" s="216">
        <v>200</v>
      </c>
      <c r="H72" s="216" t="s">
        <v>374</v>
      </c>
      <c r="I72" s="267">
        <f t="shared" si="0"/>
        <v>88</v>
      </c>
      <c r="J72" s="216">
        <v>88</v>
      </c>
      <c r="K72" s="268">
        <f t="shared" si="3"/>
        <v>88</v>
      </c>
      <c r="L72" s="218">
        <f t="shared" si="1"/>
        <v>8800000</v>
      </c>
      <c r="M72" s="219">
        <f t="shared" si="2"/>
        <v>2.6408186537826726E-3</v>
      </c>
      <c r="N72" s="39" t="s">
        <v>374</v>
      </c>
    </row>
    <row r="73" spans="2:14">
      <c r="B73" s="440"/>
      <c r="C73" s="440"/>
      <c r="D73" s="216" t="s">
        <v>504</v>
      </c>
      <c r="E73" s="216" t="s">
        <v>505</v>
      </c>
      <c r="F73" s="216">
        <v>1</v>
      </c>
      <c r="G73" s="216">
        <v>112</v>
      </c>
      <c r="H73" s="216" t="s">
        <v>374</v>
      </c>
      <c r="I73" s="267">
        <f t="shared" si="0"/>
        <v>112</v>
      </c>
      <c r="J73" s="216">
        <v>112</v>
      </c>
      <c r="K73" s="268">
        <f t="shared" si="3"/>
        <v>112</v>
      </c>
      <c r="L73" s="218">
        <f t="shared" si="1"/>
        <v>11200000</v>
      </c>
      <c r="M73" s="219">
        <f t="shared" si="2"/>
        <v>3.3610419229961287E-3</v>
      </c>
      <c r="N73" s="39" t="s">
        <v>374</v>
      </c>
    </row>
    <row r="74" spans="2:14">
      <c r="B74" s="440">
        <v>3</v>
      </c>
      <c r="C74" s="441" t="s">
        <v>506</v>
      </c>
      <c r="D74" s="216" t="s">
        <v>507</v>
      </c>
      <c r="E74" s="216" t="s">
        <v>508</v>
      </c>
      <c r="F74" s="216">
        <v>191</v>
      </c>
      <c r="G74" s="216">
        <v>200</v>
      </c>
      <c r="H74" s="216" t="s">
        <v>374</v>
      </c>
      <c r="I74" s="267">
        <f t="shared" si="0"/>
        <v>10</v>
      </c>
      <c r="J74" s="216">
        <v>10</v>
      </c>
      <c r="K74" s="268">
        <f t="shared" si="3"/>
        <v>10</v>
      </c>
      <c r="L74" s="218">
        <f t="shared" si="1"/>
        <v>1000000</v>
      </c>
      <c r="M74" s="219">
        <f t="shared" si="2"/>
        <v>3.0009302883894005E-4</v>
      </c>
      <c r="N74" s="39" t="s">
        <v>374</v>
      </c>
    </row>
    <row r="75" spans="2:14" s="50" customFormat="1">
      <c r="B75" s="440"/>
      <c r="C75" s="441"/>
      <c r="D75" s="216" t="s">
        <v>488</v>
      </c>
      <c r="E75" s="216" t="s">
        <v>508</v>
      </c>
      <c r="F75" s="216">
        <v>113</v>
      </c>
      <c r="G75" s="216">
        <v>131</v>
      </c>
      <c r="H75" s="216" t="s">
        <v>374</v>
      </c>
      <c r="I75" s="267">
        <f t="shared" si="0"/>
        <v>19</v>
      </c>
      <c r="J75" s="216">
        <v>19</v>
      </c>
      <c r="K75" s="268">
        <f t="shared" si="3"/>
        <v>19</v>
      </c>
      <c r="L75" s="218">
        <f t="shared" si="1"/>
        <v>1900000</v>
      </c>
      <c r="M75" s="219">
        <f t="shared" si="2"/>
        <v>5.7017675479398614E-4</v>
      </c>
      <c r="N75" s="39" t="s">
        <v>374</v>
      </c>
    </row>
    <row r="76" spans="2:14" s="50" customFormat="1">
      <c r="B76" s="440"/>
      <c r="C76" s="441"/>
      <c r="D76" s="216" t="s">
        <v>489</v>
      </c>
      <c r="E76" s="216" t="s">
        <v>509</v>
      </c>
      <c r="F76" s="216">
        <v>2622</v>
      </c>
      <c r="G76" s="216">
        <v>2633</v>
      </c>
      <c r="H76" s="216" t="s">
        <v>374</v>
      </c>
      <c r="I76" s="267">
        <f t="shared" si="0"/>
        <v>12</v>
      </c>
      <c r="J76" s="216">
        <v>12</v>
      </c>
      <c r="K76" s="268">
        <f t="shared" si="3"/>
        <v>12</v>
      </c>
      <c r="L76" s="218">
        <f t="shared" si="1"/>
        <v>1200000</v>
      </c>
      <c r="M76" s="219">
        <f t="shared" si="2"/>
        <v>3.601116346067281E-4</v>
      </c>
      <c r="N76" s="39" t="s">
        <v>374</v>
      </c>
    </row>
    <row r="77" spans="2:14">
      <c r="B77" s="440">
        <v>4</v>
      </c>
      <c r="C77" s="441" t="s">
        <v>511</v>
      </c>
      <c r="D77" s="216" t="s">
        <v>512</v>
      </c>
      <c r="E77" s="216" t="s">
        <v>513</v>
      </c>
      <c r="F77" s="216">
        <v>181</v>
      </c>
      <c r="G77" s="216">
        <v>190</v>
      </c>
      <c r="H77" s="216" t="s">
        <v>374</v>
      </c>
      <c r="I77" s="267">
        <f t="shared" si="0"/>
        <v>10</v>
      </c>
      <c r="J77" s="216">
        <v>10</v>
      </c>
      <c r="K77" s="268">
        <f t="shared" si="3"/>
        <v>10</v>
      </c>
      <c r="L77" s="218">
        <f t="shared" si="1"/>
        <v>1000000</v>
      </c>
      <c r="M77" s="219">
        <f t="shared" si="2"/>
        <v>3.0009302883894005E-4</v>
      </c>
      <c r="N77" s="39" t="s">
        <v>374</v>
      </c>
    </row>
    <row r="78" spans="2:14" s="50" customFormat="1">
      <c r="B78" s="440"/>
      <c r="C78" s="441"/>
      <c r="D78" s="216" t="s">
        <v>507</v>
      </c>
      <c r="E78" s="216" t="s">
        <v>513</v>
      </c>
      <c r="F78" s="216">
        <v>1</v>
      </c>
      <c r="G78" s="216">
        <v>100</v>
      </c>
      <c r="H78" s="216" t="s">
        <v>374</v>
      </c>
      <c r="I78" s="267">
        <f t="shared" si="0"/>
        <v>100</v>
      </c>
      <c r="J78" s="216">
        <v>100</v>
      </c>
      <c r="K78" s="268">
        <f t="shared" si="3"/>
        <v>100</v>
      </c>
      <c r="L78" s="218">
        <f t="shared" si="1"/>
        <v>10000000</v>
      </c>
      <c r="M78" s="219">
        <f t="shared" si="2"/>
        <v>3.0009302883894006E-3</v>
      </c>
      <c r="N78" s="39" t="s">
        <v>374</v>
      </c>
    </row>
    <row r="79" spans="2:14" s="50" customFormat="1">
      <c r="B79" s="440"/>
      <c r="C79" s="441"/>
      <c r="D79" s="216" t="s">
        <v>514</v>
      </c>
      <c r="E79" s="216" t="s">
        <v>513</v>
      </c>
      <c r="F79" s="216">
        <v>105</v>
      </c>
      <c r="G79" s="216">
        <v>119</v>
      </c>
      <c r="H79" s="216" t="s">
        <v>374</v>
      </c>
      <c r="I79" s="267">
        <f t="shared" si="0"/>
        <v>15</v>
      </c>
      <c r="J79" s="216">
        <v>15</v>
      </c>
      <c r="K79" s="268">
        <f t="shared" si="3"/>
        <v>15</v>
      </c>
      <c r="L79" s="218">
        <f t="shared" si="1"/>
        <v>1500000</v>
      </c>
      <c r="M79" s="219">
        <f t="shared" si="2"/>
        <v>4.5013954325841011E-4</v>
      </c>
      <c r="N79" s="39" t="s">
        <v>374</v>
      </c>
    </row>
    <row r="80" spans="2:14" s="50" customFormat="1">
      <c r="B80" s="440"/>
      <c r="C80" s="441"/>
      <c r="D80" s="216" t="s">
        <v>515</v>
      </c>
      <c r="E80" s="216" t="s">
        <v>513</v>
      </c>
      <c r="F80" s="216">
        <v>1</v>
      </c>
      <c r="G80" s="216">
        <v>200</v>
      </c>
      <c r="H80" s="216" t="s">
        <v>374</v>
      </c>
      <c r="I80" s="267">
        <f t="shared" si="0"/>
        <v>200</v>
      </c>
      <c r="J80" s="216">
        <v>200</v>
      </c>
      <c r="K80" s="268">
        <f t="shared" si="3"/>
        <v>200</v>
      </c>
      <c r="L80" s="218">
        <f t="shared" si="1"/>
        <v>20000000</v>
      </c>
      <c r="M80" s="219">
        <f t="shared" si="2"/>
        <v>6.0018605767788013E-3</v>
      </c>
      <c r="N80" s="39" t="s">
        <v>374</v>
      </c>
    </row>
    <row r="81" spans="2:14" s="50" customFormat="1">
      <c r="B81" s="440"/>
      <c r="C81" s="441"/>
      <c r="D81" s="216" t="s">
        <v>489</v>
      </c>
      <c r="E81" s="216" t="s">
        <v>516</v>
      </c>
      <c r="F81" s="216">
        <v>2634</v>
      </c>
      <c r="G81" s="216">
        <v>2761</v>
      </c>
      <c r="H81" s="216" t="s">
        <v>374</v>
      </c>
      <c r="I81" s="267">
        <f t="shared" si="0"/>
        <v>128</v>
      </c>
      <c r="J81" s="216">
        <v>128</v>
      </c>
      <c r="K81" s="268">
        <f t="shared" si="3"/>
        <v>128</v>
      </c>
      <c r="L81" s="218">
        <f t="shared" si="1"/>
        <v>12800000</v>
      </c>
      <c r="M81" s="219">
        <f t="shared" si="2"/>
        <v>3.841190769138433E-3</v>
      </c>
      <c r="N81" s="39" t="s">
        <v>374</v>
      </c>
    </row>
    <row r="82" spans="2:14" ht="14.7" customHeight="1">
      <c r="B82" s="440">
        <v>5</v>
      </c>
      <c r="C82" s="440" t="s">
        <v>517</v>
      </c>
      <c r="D82" s="216" t="s">
        <v>490</v>
      </c>
      <c r="E82" s="216" t="s">
        <v>518</v>
      </c>
      <c r="F82" s="216">
        <v>101</v>
      </c>
      <c r="G82" s="216">
        <v>200</v>
      </c>
      <c r="H82" s="216" t="s">
        <v>374</v>
      </c>
      <c r="I82" s="267">
        <f t="shared" si="0"/>
        <v>100</v>
      </c>
      <c r="J82" s="216">
        <v>100</v>
      </c>
      <c r="K82" s="268">
        <f t="shared" si="3"/>
        <v>100</v>
      </c>
      <c r="L82" s="218">
        <f t="shared" si="1"/>
        <v>10000000</v>
      </c>
      <c r="M82" s="219">
        <f t="shared" si="2"/>
        <v>3.0009302883894006E-3</v>
      </c>
      <c r="N82" s="39" t="s">
        <v>374</v>
      </c>
    </row>
    <row r="83" spans="2:14" s="50" customFormat="1" ht="14.7" customHeight="1">
      <c r="B83" s="440"/>
      <c r="C83" s="440"/>
      <c r="D83" s="216" t="s">
        <v>487</v>
      </c>
      <c r="E83" s="216" t="s">
        <v>518</v>
      </c>
      <c r="F83" s="216">
        <v>51</v>
      </c>
      <c r="G83" s="216">
        <v>150</v>
      </c>
      <c r="H83" s="216" t="s">
        <v>374</v>
      </c>
      <c r="I83" s="267">
        <f t="shared" si="0"/>
        <v>100</v>
      </c>
      <c r="J83" s="216">
        <v>100</v>
      </c>
      <c r="K83" s="268">
        <f t="shared" si="3"/>
        <v>100</v>
      </c>
      <c r="L83" s="218">
        <f t="shared" si="1"/>
        <v>10000000</v>
      </c>
      <c r="M83" s="219">
        <f t="shared" si="2"/>
        <v>3.0009302883894006E-3</v>
      </c>
      <c r="N83" s="39" t="s">
        <v>374</v>
      </c>
    </row>
    <row r="84" spans="2:14" s="50" customFormat="1" ht="14.7" customHeight="1">
      <c r="B84" s="440"/>
      <c r="C84" s="440"/>
      <c r="D84" s="216" t="s">
        <v>487</v>
      </c>
      <c r="E84" s="216" t="s">
        <v>518</v>
      </c>
      <c r="F84" s="216">
        <v>161</v>
      </c>
      <c r="G84" s="216">
        <v>165</v>
      </c>
      <c r="H84" s="216" t="s">
        <v>374</v>
      </c>
      <c r="I84" s="267">
        <f t="shared" si="0"/>
        <v>5</v>
      </c>
      <c r="J84" s="216">
        <v>5</v>
      </c>
      <c r="K84" s="268">
        <f t="shared" si="3"/>
        <v>5</v>
      </c>
      <c r="L84" s="218">
        <f t="shared" si="1"/>
        <v>500000</v>
      </c>
      <c r="M84" s="219">
        <f t="shared" si="2"/>
        <v>1.5004651441947003E-4</v>
      </c>
      <c r="N84" s="39" t="s">
        <v>374</v>
      </c>
    </row>
    <row r="85" spans="2:14" s="50" customFormat="1" ht="14.7" customHeight="1">
      <c r="B85" s="440"/>
      <c r="C85" s="440"/>
      <c r="D85" s="216" t="s">
        <v>487</v>
      </c>
      <c r="E85" s="216" t="s">
        <v>518</v>
      </c>
      <c r="F85" s="216">
        <v>181</v>
      </c>
      <c r="G85" s="216">
        <v>195</v>
      </c>
      <c r="H85" s="216" t="s">
        <v>374</v>
      </c>
      <c r="I85" s="267">
        <f t="shared" si="0"/>
        <v>15</v>
      </c>
      <c r="J85" s="216">
        <v>15</v>
      </c>
      <c r="K85" s="268">
        <f t="shared" si="3"/>
        <v>15</v>
      </c>
      <c r="L85" s="218">
        <f t="shared" si="1"/>
        <v>1500000</v>
      </c>
      <c r="M85" s="219">
        <f t="shared" si="2"/>
        <v>4.5013954325841011E-4</v>
      </c>
      <c r="N85" s="39" t="s">
        <v>374</v>
      </c>
    </row>
    <row r="86" spans="2:14" s="50" customFormat="1" ht="14.7" customHeight="1">
      <c r="B86" s="440"/>
      <c r="C86" s="440"/>
      <c r="D86" s="216" t="s">
        <v>487</v>
      </c>
      <c r="E86" s="216" t="s">
        <v>518</v>
      </c>
      <c r="F86" s="216">
        <v>200</v>
      </c>
      <c r="G86" s="216">
        <v>200</v>
      </c>
      <c r="H86" s="216" t="s">
        <v>374</v>
      </c>
      <c r="I86" s="267">
        <f t="shared" si="0"/>
        <v>1</v>
      </c>
      <c r="J86" s="216">
        <v>1</v>
      </c>
      <c r="K86" s="268">
        <f t="shared" si="3"/>
        <v>1</v>
      </c>
      <c r="L86" s="218">
        <f t="shared" si="1"/>
        <v>100000</v>
      </c>
      <c r="M86" s="219">
        <f t="shared" si="2"/>
        <v>3.0009302883894008E-5</v>
      </c>
      <c r="N86" s="39" t="s">
        <v>374</v>
      </c>
    </row>
    <row r="87" spans="2:14" s="50" customFormat="1" ht="14.7" customHeight="1">
      <c r="B87" s="440"/>
      <c r="C87" s="440"/>
      <c r="D87" s="216" t="s">
        <v>512</v>
      </c>
      <c r="E87" s="216" t="s">
        <v>518</v>
      </c>
      <c r="F87" s="216">
        <v>1</v>
      </c>
      <c r="G87" s="216">
        <v>100</v>
      </c>
      <c r="H87" s="216" t="s">
        <v>374</v>
      </c>
      <c r="I87" s="267">
        <f t="shared" si="0"/>
        <v>100</v>
      </c>
      <c r="J87" s="216">
        <v>100</v>
      </c>
      <c r="K87" s="268">
        <f t="shared" si="3"/>
        <v>100</v>
      </c>
      <c r="L87" s="218">
        <f t="shared" si="1"/>
        <v>10000000</v>
      </c>
      <c r="M87" s="219">
        <f t="shared" si="2"/>
        <v>3.0009302883894006E-3</v>
      </c>
      <c r="N87" s="39" t="s">
        <v>374</v>
      </c>
    </row>
    <row r="88" spans="2:14" s="50" customFormat="1" ht="14.7" customHeight="1">
      <c r="B88" s="440"/>
      <c r="C88" s="440"/>
      <c r="D88" s="216" t="s">
        <v>512</v>
      </c>
      <c r="E88" s="216" t="s">
        <v>494</v>
      </c>
      <c r="F88" s="216">
        <v>151</v>
      </c>
      <c r="G88" s="216">
        <v>180</v>
      </c>
      <c r="H88" s="216" t="s">
        <v>374</v>
      </c>
      <c r="I88" s="267">
        <f t="shared" si="0"/>
        <v>30</v>
      </c>
      <c r="J88" s="216">
        <v>30</v>
      </c>
      <c r="K88" s="268">
        <f t="shared" si="3"/>
        <v>30</v>
      </c>
      <c r="L88" s="218">
        <f t="shared" si="1"/>
        <v>3000000</v>
      </c>
      <c r="M88" s="219">
        <f t="shared" si="2"/>
        <v>9.0027908651682022E-4</v>
      </c>
      <c r="N88" s="39" t="s">
        <v>374</v>
      </c>
    </row>
    <row r="89" spans="2:14" s="50" customFormat="1" ht="14.7" customHeight="1">
      <c r="B89" s="440"/>
      <c r="C89" s="440"/>
      <c r="D89" s="216" t="s">
        <v>512</v>
      </c>
      <c r="E89" s="216" t="s">
        <v>494</v>
      </c>
      <c r="F89" s="216">
        <v>191</v>
      </c>
      <c r="G89" s="216">
        <v>199</v>
      </c>
      <c r="H89" s="216" t="s">
        <v>374</v>
      </c>
      <c r="I89" s="267">
        <f t="shared" si="0"/>
        <v>9</v>
      </c>
      <c r="J89" s="216">
        <v>9</v>
      </c>
      <c r="K89" s="268">
        <f t="shared" si="3"/>
        <v>9</v>
      </c>
      <c r="L89" s="218">
        <f t="shared" si="1"/>
        <v>900000</v>
      </c>
      <c r="M89" s="219">
        <f t="shared" si="2"/>
        <v>2.7008372595504609E-4</v>
      </c>
      <c r="N89" s="39" t="s">
        <v>374</v>
      </c>
    </row>
    <row r="90" spans="2:14" s="50" customFormat="1" ht="14.7" customHeight="1">
      <c r="B90" s="440"/>
      <c r="C90" s="440"/>
      <c r="D90" s="216" t="s">
        <v>507</v>
      </c>
      <c r="E90" s="216" t="s">
        <v>494</v>
      </c>
      <c r="F90" s="216">
        <v>101</v>
      </c>
      <c r="G90" s="216">
        <v>190</v>
      </c>
      <c r="H90" s="216" t="s">
        <v>374</v>
      </c>
      <c r="I90" s="267">
        <f t="shared" si="0"/>
        <v>90</v>
      </c>
      <c r="J90" s="216">
        <v>90</v>
      </c>
      <c r="K90" s="268">
        <f t="shared" si="3"/>
        <v>90</v>
      </c>
      <c r="L90" s="218">
        <f t="shared" si="1"/>
        <v>9000000</v>
      </c>
      <c r="M90" s="219">
        <f t="shared" si="2"/>
        <v>2.7008372595504608E-3</v>
      </c>
      <c r="N90" s="39" t="s">
        <v>374</v>
      </c>
    </row>
    <row r="91" spans="2:14" s="50" customFormat="1" ht="14.7" customHeight="1">
      <c r="B91" s="440"/>
      <c r="C91" s="440"/>
      <c r="D91" s="216" t="s">
        <v>519</v>
      </c>
      <c r="E91" s="216" t="s">
        <v>494</v>
      </c>
      <c r="F91" s="216">
        <v>101</v>
      </c>
      <c r="G91" s="216">
        <v>170</v>
      </c>
      <c r="H91" s="216" t="s">
        <v>374</v>
      </c>
      <c r="I91" s="267">
        <f t="shared" si="0"/>
        <v>70</v>
      </c>
      <c r="J91" s="216">
        <v>70</v>
      </c>
      <c r="K91" s="268">
        <f t="shared" si="3"/>
        <v>70</v>
      </c>
      <c r="L91" s="218">
        <f t="shared" si="1"/>
        <v>7000000</v>
      </c>
      <c r="M91" s="219">
        <f t="shared" si="2"/>
        <v>2.1006512018725805E-3</v>
      </c>
      <c r="N91" s="39" t="s">
        <v>374</v>
      </c>
    </row>
    <row r="92" spans="2:14" s="50" customFormat="1" ht="14.7" customHeight="1">
      <c r="B92" s="440"/>
      <c r="C92" s="440"/>
      <c r="D92" s="216" t="s">
        <v>520</v>
      </c>
      <c r="E92" s="216" t="s">
        <v>494</v>
      </c>
      <c r="F92" s="216">
        <v>1</v>
      </c>
      <c r="G92" s="216">
        <v>50</v>
      </c>
      <c r="H92" s="216" t="s">
        <v>374</v>
      </c>
      <c r="I92" s="267">
        <f t="shared" si="0"/>
        <v>50</v>
      </c>
      <c r="J92" s="216">
        <v>50</v>
      </c>
      <c r="K92" s="268">
        <f t="shared" si="3"/>
        <v>50</v>
      </c>
      <c r="L92" s="218">
        <f t="shared" si="1"/>
        <v>5000000</v>
      </c>
      <c r="M92" s="219">
        <f t="shared" si="2"/>
        <v>1.5004651441947003E-3</v>
      </c>
      <c r="N92" s="39" t="s">
        <v>374</v>
      </c>
    </row>
    <row r="93" spans="2:14" s="50" customFormat="1" ht="14.7" customHeight="1">
      <c r="B93" s="440"/>
      <c r="C93" s="440"/>
      <c r="D93" s="216" t="s">
        <v>500</v>
      </c>
      <c r="E93" s="216" t="s">
        <v>494</v>
      </c>
      <c r="F93" s="216">
        <v>1</v>
      </c>
      <c r="G93" s="216">
        <v>200</v>
      </c>
      <c r="H93" s="216" t="s">
        <v>374</v>
      </c>
      <c r="I93" s="267">
        <f t="shared" si="0"/>
        <v>200</v>
      </c>
      <c r="J93" s="216">
        <v>200</v>
      </c>
      <c r="K93" s="268">
        <f t="shared" si="3"/>
        <v>200</v>
      </c>
      <c r="L93" s="218">
        <f t="shared" si="1"/>
        <v>20000000</v>
      </c>
      <c r="M93" s="219">
        <f t="shared" ref="M93:M124" si="4">+L93/$L$237</f>
        <v>6.0018605767788013E-3</v>
      </c>
      <c r="N93" s="39" t="s">
        <v>374</v>
      </c>
    </row>
    <row r="94" spans="2:14" s="50" customFormat="1" ht="14.7" customHeight="1">
      <c r="B94" s="440"/>
      <c r="C94" s="440"/>
      <c r="D94" s="216" t="s">
        <v>516</v>
      </c>
      <c r="E94" s="216" t="s">
        <v>488</v>
      </c>
      <c r="F94" s="216">
        <v>1</v>
      </c>
      <c r="G94" s="216">
        <v>200</v>
      </c>
      <c r="H94" s="216" t="s">
        <v>374</v>
      </c>
      <c r="I94" s="267">
        <f t="shared" si="0"/>
        <v>200</v>
      </c>
      <c r="J94" s="216">
        <v>200</v>
      </c>
      <c r="K94" s="268">
        <f t="shared" si="3"/>
        <v>200</v>
      </c>
      <c r="L94" s="218">
        <f t="shared" si="1"/>
        <v>20000000</v>
      </c>
      <c r="M94" s="219">
        <f t="shared" si="4"/>
        <v>6.0018605767788013E-3</v>
      </c>
      <c r="N94" s="39" t="s">
        <v>374</v>
      </c>
    </row>
    <row r="95" spans="2:14" s="50" customFormat="1" ht="14.7" customHeight="1">
      <c r="B95" s="440"/>
      <c r="C95" s="440"/>
      <c r="D95" s="216" t="s">
        <v>521</v>
      </c>
      <c r="E95" s="216" t="s">
        <v>488</v>
      </c>
      <c r="F95" s="216">
        <v>1</v>
      </c>
      <c r="G95" s="216">
        <v>200</v>
      </c>
      <c r="H95" s="216" t="s">
        <v>374</v>
      </c>
      <c r="I95" s="267">
        <f t="shared" si="0"/>
        <v>200</v>
      </c>
      <c r="J95" s="216">
        <v>200</v>
      </c>
      <c r="K95" s="268">
        <f t="shared" si="3"/>
        <v>200</v>
      </c>
      <c r="L95" s="218">
        <f t="shared" si="1"/>
        <v>20000000</v>
      </c>
      <c r="M95" s="219">
        <f t="shared" si="4"/>
        <v>6.0018605767788013E-3</v>
      </c>
      <c r="N95" s="39" t="s">
        <v>374</v>
      </c>
    </row>
    <row r="96" spans="2:14" s="50" customFormat="1" ht="14.7" customHeight="1">
      <c r="B96" s="440"/>
      <c r="C96" s="440"/>
      <c r="D96" s="216" t="s">
        <v>522</v>
      </c>
      <c r="E96" s="216" t="s">
        <v>488</v>
      </c>
      <c r="F96" s="216">
        <v>1</v>
      </c>
      <c r="G96" s="216">
        <v>200</v>
      </c>
      <c r="H96" s="216" t="s">
        <v>374</v>
      </c>
      <c r="I96" s="267">
        <f t="shared" si="0"/>
        <v>200</v>
      </c>
      <c r="J96" s="216">
        <v>200</v>
      </c>
      <c r="K96" s="268">
        <f t="shared" si="3"/>
        <v>200</v>
      </c>
      <c r="L96" s="218">
        <f t="shared" si="1"/>
        <v>20000000</v>
      </c>
      <c r="M96" s="219">
        <f t="shared" si="4"/>
        <v>6.0018605767788013E-3</v>
      </c>
      <c r="N96" s="39" t="s">
        <v>374</v>
      </c>
    </row>
    <row r="97" spans="2:14" s="50" customFormat="1" ht="14.7" customHeight="1">
      <c r="B97" s="440"/>
      <c r="C97" s="440"/>
      <c r="D97" s="216" t="s">
        <v>523</v>
      </c>
      <c r="E97" s="216" t="s">
        <v>488</v>
      </c>
      <c r="F97" s="216">
        <v>1</v>
      </c>
      <c r="G97" s="216">
        <v>200</v>
      </c>
      <c r="H97" s="216" t="s">
        <v>374</v>
      </c>
      <c r="I97" s="267">
        <f t="shared" si="0"/>
        <v>200</v>
      </c>
      <c r="J97" s="216">
        <v>200</v>
      </c>
      <c r="K97" s="268">
        <f t="shared" si="3"/>
        <v>200</v>
      </c>
      <c r="L97" s="218">
        <f t="shared" si="1"/>
        <v>20000000</v>
      </c>
      <c r="M97" s="219">
        <f t="shared" si="4"/>
        <v>6.0018605767788013E-3</v>
      </c>
      <c r="N97" s="39" t="s">
        <v>374</v>
      </c>
    </row>
    <row r="98" spans="2:14" s="50" customFormat="1" ht="14.7" customHeight="1">
      <c r="B98" s="440"/>
      <c r="C98" s="440"/>
      <c r="D98" s="216" t="s">
        <v>524</v>
      </c>
      <c r="E98" s="216" t="s">
        <v>488</v>
      </c>
      <c r="F98" s="216">
        <v>1</v>
      </c>
      <c r="G98" s="216">
        <v>200</v>
      </c>
      <c r="H98" s="216" t="s">
        <v>374</v>
      </c>
      <c r="I98" s="267">
        <f t="shared" si="0"/>
        <v>200</v>
      </c>
      <c r="J98" s="216">
        <v>200</v>
      </c>
      <c r="K98" s="268">
        <f t="shared" si="3"/>
        <v>200</v>
      </c>
      <c r="L98" s="218">
        <f t="shared" si="1"/>
        <v>20000000</v>
      </c>
      <c r="M98" s="219">
        <f t="shared" si="4"/>
        <v>6.0018605767788013E-3</v>
      </c>
      <c r="N98" s="39" t="s">
        <v>374</v>
      </c>
    </row>
    <row r="99" spans="2:14" s="50" customFormat="1" ht="14.7" customHeight="1">
      <c r="B99" s="440"/>
      <c r="C99" s="440"/>
      <c r="D99" s="216" t="s">
        <v>525</v>
      </c>
      <c r="E99" s="216" t="s">
        <v>488</v>
      </c>
      <c r="F99" s="216">
        <v>1</v>
      </c>
      <c r="G99" s="216">
        <v>200</v>
      </c>
      <c r="H99" s="216" t="s">
        <v>374</v>
      </c>
      <c r="I99" s="267">
        <f t="shared" si="0"/>
        <v>200</v>
      </c>
      <c r="J99" s="216">
        <v>200</v>
      </c>
      <c r="K99" s="268">
        <f t="shared" si="3"/>
        <v>200</v>
      </c>
      <c r="L99" s="218">
        <f t="shared" si="1"/>
        <v>20000000</v>
      </c>
      <c r="M99" s="219">
        <f t="shared" si="4"/>
        <v>6.0018605767788013E-3</v>
      </c>
      <c r="N99" s="39" t="s">
        <v>374</v>
      </c>
    </row>
    <row r="100" spans="2:14" s="50" customFormat="1" ht="14.7" customHeight="1">
      <c r="B100" s="440"/>
      <c r="C100" s="440"/>
      <c r="D100" s="216" t="s">
        <v>526</v>
      </c>
      <c r="E100" s="216" t="s">
        <v>527</v>
      </c>
      <c r="F100" s="216">
        <v>1</v>
      </c>
      <c r="G100" s="216">
        <v>200</v>
      </c>
      <c r="H100" s="216" t="s">
        <v>374</v>
      </c>
      <c r="I100" s="267">
        <f t="shared" si="0"/>
        <v>200</v>
      </c>
      <c r="J100" s="216">
        <v>200</v>
      </c>
      <c r="K100" s="268">
        <f t="shared" si="3"/>
        <v>200</v>
      </c>
      <c r="L100" s="218">
        <f t="shared" si="1"/>
        <v>20000000</v>
      </c>
      <c r="M100" s="219">
        <f t="shared" si="4"/>
        <v>6.0018605767788013E-3</v>
      </c>
      <c r="N100" s="39" t="s">
        <v>374</v>
      </c>
    </row>
    <row r="101" spans="2:14" s="50" customFormat="1" ht="14.7" customHeight="1">
      <c r="B101" s="440"/>
      <c r="C101" s="440"/>
      <c r="D101" s="216" t="s">
        <v>528</v>
      </c>
      <c r="E101" s="216" t="s">
        <v>527</v>
      </c>
      <c r="F101" s="216">
        <v>1</v>
      </c>
      <c r="G101" s="216">
        <v>192</v>
      </c>
      <c r="H101" s="216" t="s">
        <v>374</v>
      </c>
      <c r="I101" s="267">
        <f t="shared" si="0"/>
        <v>192</v>
      </c>
      <c r="J101" s="216">
        <v>192</v>
      </c>
      <c r="K101" s="268">
        <f t="shared" si="3"/>
        <v>192</v>
      </c>
      <c r="L101" s="218">
        <f t="shared" si="1"/>
        <v>19200000</v>
      </c>
      <c r="M101" s="219">
        <f t="shared" si="4"/>
        <v>5.7617861537076496E-3</v>
      </c>
      <c r="N101" s="39" t="s">
        <v>374</v>
      </c>
    </row>
    <row r="102" spans="2:14" s="50" customFormat="1" ht="14.7" customHeight="1">
      <c r="B102" s="440"/>
      <c r="C102" s="440"/>
      <c r="D102" s="216" t="s">
        <v>529</v>
      </c>
      <c r="E102" s="216" t="s">
        <v>527</v>
      </c>
      <c r="F102" s="216">
        <v>1</v>
      </c>
      <c r="G102" s="216">
        <v>200</v>
      </c>
      <c r="H102" s="216" t="s">
        <v>374</v>
      </c>
      <c r="I102" s="267">
        <f t="shared" si="0"/>
        <v>200</v>
      </c>
      <c r="J102" s="216">
        <v>200</v>
      </c>
      <c r="K102" s="268">
        <f t="shared" si="3"/>
        <v>200</v>
      </c>
      <c r="L102" s="218">
        <f t="shared" si="1"/>
        <v>20000000</v>
      </c>
      <c r="M102" s="219">
        <f t="shared" si="4"/>
        <v>6.0018605767788013E-3</v>
      </c>
      <c r="N102" s="39" t="s">
        <v>374</v>
      </c>
    </row>
    <row r="103" spans="2:14" s="50" customFormat="1" ht="14.7" customHeight="1">
      <c r="B103" s="440"/>
      <c r="C103" s="440"/>
      <c r="D103" s="216" t="s">
        <v>530</v>
      </c>
      <c r="E103" s="216" t="s">
        <v>527</v>
      </c>
      <c r="F103" s="216">
        <v>1</v>
      </c>
      <c r="G103" s="216">
        <v>200</v>
      </c>
      <c r="H103" s="216" t="s">
        <v>374</v>
      </c>
      <c r="I103" s="267">
        <f t="shared" si="0"/>
        <v>200</v>
      </c>
      <c r="J103" s="216">
        <v>200</v>
      </c>
      <c r="K103" s="268">
        <f t="shared" si="3"/>
        <v>200</v>
      </c>
      <c r="L103" s="218">
        <f t="shared" si="1"/>
        <v>20000000</v>
      </c>
      <c r="M103" s="219">
        <f t="shared" si="4"/>
        <v>6.0018605767788013E-3</v>
      </c>
      <c r="N103" s="39" t="s">
        <v>374</v>
      </c>
    </row>
    <row r="104" spans="2:14" s="50" customFormat="1" ht="14.7" customHeight="1">
      <c r="B104" s="440"/>
      <c r="C104" s="440"/>
      <c r="D104" s="216" t="s">
        <v>531</v>
      </c>
      <c r="E104" s="216" t="s">
        <v>527</v>
      </c>
      <c r="F104" s="216">
        <v>1</v>
      </c>
      <c r="G104" s="216">
        <v>200</v>
      </c>
      <c r="H104" s="216" t="s">
        <v>374</v>
      </c>
      <c r="I104" s="267">
        <f t="shared" si="0"/>
        <v>200</v>
      </c>
      <c r="J104" s="216">
        <v>200</v>
      </c>
      <c r="K104" s="268">
        <f t="shared" si="3"/>
        <v>200</v>
      </c>
      <c r="L104" s="218">
        <f t="shared" si="1"/>
        <v>20000000</v>
      </c>
      <c r="M104" s="219">
        <f t="shared" si="4"/>
        <v>6.0018605767788013E-3</v>
      </c>
      <c r="N104" s="39" t="s">
        <v>374</v>
      </c>
    </row>
    <row r="105" spans="2:14" s="50" customFormat="1" ht="14.7" customHeight="1">
      <c r="B105" s="440"/>
      <c r="C105" s="440"/>
      <c r="D105" s="216" t="s">
        <v>532</v>
      </c>
      <c r="E105" s="216" t="s">
        <v>527</v>
      </c>
      <c r="F105" s="216">
        <v>1</v>
      </c>
      <c r="G105" s="216">
        <v>200</v>
      </c>
      <c r="H105" s="216" t="s">
        <v>374</v>
      </c>
      <c r="I105" s="267">
        <f t="shared" si="0"/>
        <v>200</v>
      </c>
      <c r="J105" s="216">
        <v>200</v>
      </c>
      <c r="K105" s="268">
        <f t="shared" si="3"/>
        <v>200</v>
      </c>
      <c r="L105" s="218">
        <f t="shared" si="1"/>
        <v>20000000</v>
      </c>
      <c r="M105" s="219">
        <f t="shared" si="4"/>
        <v>6.0018605767788013E-3</v>
      </c>
      <c r="N105" s="39" t="s">
        <v>374</v>
      </c>
    </row>
    <row r="106" spans="2:14" s="50" customFormat="1" ht="14.7" customHeight="1">
      <c r="B106" s="440"/>
      <c r="C106" s="440"/>
      <c r="D106" s="216" t="s">
        <v>533</v>
      </c>
      <c r="E106" s="216" t="s">
        <v>503</v>
      </c>
      <c r="F106" s="216">
        <v>1</v>
      </c>
      <c r="G106" s="216">
        <v>200</v>
      </c>
      <c r="H106" s="216" t="s">
        <v>374</v>
      </c>
      <c r="I106" s="267">
        <f t="shared" si="0"/>
        <v>200</v>
      </c>
      <c r="J106" s="216">
        <v>200</v>
      </c>
      <c r="K106" s="268">
        <f t="shared" si="3"/>
        <v>200</v>
      </c>
      <c r="L106" s="218">
        <f t="shared" si="1"/>
        <v>20000000</v>
      </c>
      <c r="M106" s="219">
        <f t="shared" si="4"/>
        <v>6.0018605767788013E-3</v>
      </c>
      <c r="N106" s="39" t="s">
        <v>374</v>
      </c>
    </row>
    <row r="107" spans="2:14" s="50" customFormat="1" ht="14.7" customHeight="1">
      <c r="B107" s="440"/>
      <c r="C107" s="440"/>
      <c r="D107" s="216" t="s">
        <v>534</v>
      </c>
      <c r="E107" s="216" t="s">
        <v>503</v>
      </c>
      <c r="F107" s="216">
        <v>1</v>
      </c>
      <c r="G107" s="216">
        <v>200</v>
      </c>
      <c r="H107" s="216" t="s">
        <v>374</v>
      </c>
      <c r="I107" s="267">
        <f t="shared" si="0"/>
        <v>200</v>
      </c>
      <c r="J107" s="216">
        <v>200</v>
      </c>
      <c r="K107" s="268">
        <f t="shared" si="3"/>
        <v>200</v>
      </c>
      <c r="L107" s="218">
        <f t="shared" si="1"/>
        <v>20000000</v>
      </c>
      <c r="M107" s="219">
        <f t="shared" si="4"/>
        <v>6.0018605767788013E-3</v>
      </c>
      <c r="N107" s="39" t="s">
        <v>374</v>
      </c>
    </row>
    <row r="108" spans="2:14" s="50" customFormat="1" ht="14.7" customHeight="1">
      <c r="B108" s="440"/>
      <c r="C108" s="440"/>
      <c r="D108" s="216" t="s">
        <v>489</v>
      </c>
      <c r="E108" s="216" t="s">
        <v>521</v>
      </c>
      <c r="F108" s="216">
        <v>2763</v>
      </c>
      <c r="G108" s="216">
        <v>5000</v>
      </c>
      <c r="H108" s="216" t="s">
        <v>374</v>
      </c>
      <c r="I108" s="267">
        <f t="shared" si="0"/>
        <v>2238</v>
      </c>
      <c r="J108" s="216">
        <v>2238</v>
      </c>
      <c r="K108" s="268">
        <f t="shared" si="3"/>
        <v>2238</v>
      </c>
      <c r="L108" s="218">
        <f t="shared" si="1"/>
        <v>223800000</v>
      </c>
      <c r="M108" s="219">
        <f t="shared" si="4"/>
        <v>6.7160819854154785E-2</v>
      </c>
      <c r="N108" s="39" t="s">
        <v>374</v>
      </c>
    </row>
    <row r="109" spans="2:14" s="50" customFormat="1" ht="14.7" customHeight="1">
      <c r="B109" s="440"/>
      <c r="C109" s="440"/>
      <c r="D109" s="216" t="s">
        <v>535</v>
      </c>
      <c r="E109" s="216" t="s">
        <v>521</v>
      </c>
      <c r="F109" s="216">
        <v>1</v>
      </c>
      <c r="G109" s="216">
        <v>170</v>
      </c>
      <c r="H109" s="216" t="s">
        <v>374</v>
      </c>
      <c r="I109" s="267">
        <f t="shared" si="0"/>
        <v>170</v>
      </c>
      <c r="J109" s="216">
        <v>170</v>
      </c>
      <c r="K109" s="268">
        <f t="shared" si="3"/>
        <v>170</v>
      </c>
      <c r="L109" s="218">
        <f t="shared" si="1"/>
        <v>17000000</v>
      </c>
      <c r="M109" s="219">
        <f t="shared" si="4"/>
        <v>5.1015814902619812E-3</v>
      </c>
      <c r="N109" s="39" t="s">
        <v>374</v>
      </c>
    </row>
    <row r="110" spans="2:14" s="50" customFormat="1" ht="14.7" customHeight="1">
      <c r="B110" s="440"/>
      <c r="C110" s="440"/>
      <c r="D110" s="216" t="s">
        <v>505</v>
      </c>
      <c r="E110" s="216" t="s">
        <v>512</v>
      </c>
      <c r="F110" s="216">
        <v>1</v>
      </c>
      <c r="G110" s="216">
        <v>200</v>
      </c>
      <c r="H110" s="216" t="s">
        <v>374</v>
      </c>
      <c r="I110" s="267">
        <f t="shared" si="0"/>
        <v>200</v>
      </c>
      <c r="J110" s="216">
        <v>200</v>
      </c>
      <c r="K110" s="268">
        <f t="shared" si="3"/>
        <v>200</v>
      </c>
      <c r="L110" s="218">
        <f t="shared" si="1"/>
        <v>20000000</v>
      </c>
      <c r="M110" s="219">
        <f t="shared" si="4"/>
        <v>6.0018605767788013E-3</v>
      </c>
      <c r="N110" s="39" t="s">
        <v>374</v>
      </c>
    </row>
    <row r="111" spans="2:14" s="50" customFormat="1" ht="14.7" customHeight="1">
      <c r="B111" s="440"/>
      <c r="C111" s="440"/>
      <c r="D111" s="216" t="s">
        <v>536</v>
      </c>
      <c r="E111" s="216" t="s">
        <v>512</v>
      </c>
      <c r="F111" s="216">
        <v>1</v>
      </c>
      <c r="G111" s="216">
        <v>200</v>
      </c>
      <c r="H111" s="216" t="s">
        <v>374</v>
      </c>
      <c r="I111" s="267">
        <f t="shared" si="0"/>
        <v>200</v>
      </c>
      <c r="J111" s="216">
        <v>200</v>
      </c>
      <c r="K111" s="268">
        <f t="shared" si="3"/>
        <v>200</v>
      </c>
      <c r="L111" s="218">
        <f t="shared" si="1"/>
        <v>20000000</v>
      </c>
      <c r="M111" s="219">
        <f t="shared" si="4"/>
        <v>6.0018605767788013E-3</v>
      </c>
      <c r="N111" s="39" t="s">
        <v>374</v>
      </c>
    </row>
    <row r="112" spans="2:14" s="50" customFormat="1" ht="14.7" customHeight="1">
      <c r="B112" s="440"/>
      <c r="C112" s="440"/>
      <c r="D112" s="216" t="s">
        <v>537</v>
      </c>
      <c r="E112" s="216" t="s">
        <v>512</v>
      </c>
      <c r="F112" s="216">
        <v>1</v>
      </c>
      <c r="G112" s="216">
        <v>200</v>
      </c>
      <c r="H112" s="216" t="s">
        <v>374</v>
      </c>
      <c r="I112" s="267">
        <f t="shared" si="0"/>
        <v>200</v>
      </c>
      <c r="J112" s="216">
        <v>200</v>
      </c>
      <c r="K112" s="268">
        <f t="shared" si="3"/>
        <v>200</v>
      </c>
      <c r="L112" s="218">
        <f t="shared" si="1"/>
        <v>20000000</v>
      </c>
      <c r="M112" s="219">
        <f t="shared" si="4"/>
        <v>6.0018605767788013E-3</v>
      </c>
      <c r="N112" s="39" t="s">
        <v>374</v>
      </c>
    </row>
    <row r="113" spans="2:14" s="50" customFormat="1" ht="14.7" customHeight="1">
      <c r="B113" s="440"/>
      <c r="C113" s="440"/>
      <c r="D113" s="216" t="s">
        <v>538</v>
      </c>
      <c r="E113" s="216" t="s">
        <v>512</v>
      </c>
      <c r="F113" s="216">
        <v>1</v>
      </c>
      <c r="G113" s="216">
        <v>200</v>
      </c>
      <c r="H113" s="216" t="s">
        <v>374</v>
      </c>
      <c r="I113" s="267">
        <f t="shared" si="0"/>
        <v>200</v>
      </c>
      <c r="J113" s="216">
        <v>200</v>
      </c>
      <c r="K113" s="268">
        <f t="shared" si="3"/>
        <v>200</v>
      </c>
      <c r="L113" s="218">
        <f t="shared" si="1"/>
        <v>20000000</v>
      </c>
      <c r="M113" s="219">
        <f t="shared" si="4"/>
        <v>6.0018605767788013E-3</v>
      </c>
      <c r="N113" s="39" t="s">
        <v>374</v>
      </c>
    </row>
    <row r="114" spans="2:14" s="50" customFormat="1" ht="14.7" customHeight="1">
      <c r="B114" s="440"/>
      <c r="C114" s="440"/>
      <c r="D114" s="216" t="s">
        <v>499</v>
      </c>
      <c r="E114" s="216" t="s">
        <v>512</v>
      </c>
      <c r="F114" s="216">
        <v>1</v>
      </c>
      <c r="G114" s="216">
        <v>200</v>
      </c>
      <c r="H114" s="216" t="s">
        <v>374</v>
      </c>
      <c r="I114" s="267">
        <f t="shared" si="0"/>
        <v>200</v>
      </c>
      <c r="J114" s="216">
        <v>200</v>
      </c>
      <c r="K114" s="268">
        <f t="shared" si="3"/>
        <v>200</v>
      </c>
      <c r="L114" s="218">
        <f t="shared" si="1"/>
        <v>20000000</v>
      </c>
      <c r="M114" s="219">
        <f t="shared" si="4"/>
        <v>6.0018605767788013E-3</v>
      </c>
      <c r="N114" s="39" t="s">
        <v>374</v>
      </c>
    </row>
    <row r="115" spans="2:14" s="50" customFormat="1" ht="14.7" customHeight="1">
      <c r="B115" s="440"/>
      <c r="C115" s="440"/>
      <c r="D115" s="216" t="s">
        <v>539</v>
      </c>
      <c r="E115" s="216" t="s">
        <v>512</v>
      </c>
      <c r="F115" s="216">
        <v>1</v>
      </c>
      <c r="G115" s="216">
        <v>200</v>
      </c>
      <c r="H115" s="216" t="s">
        <v>374</v>
      </c>
      <c r="I115" s="267">
        <f t="shared" si="0"/>
        <v>200</v>
      </c>
      <c r="J115" s="216">
        <v>200</v>
      </c>
      <c r="K115" s="268">
        <f t="shared" si="3"/>
        <v>200</v>
      </c>
      <c r="L115" s="218">
        <f t="shared" si="1"/>
        <v>20000000</v>
      </c>
      <c r="M115" s="219">
        <f t="shared" si="4"/>
        <v>6.0018605767788013E-3</v>
      </c>
      <c r="N115" s="39" t="s">
        <v>374</v>
      </c>
    </row>
    <row r="116" spans="2:14" s="50" customFormat="1" ht="14.7" customHeight="1">
      <c r="B116" s="440"/>
      <c r="C116" s="440"/>
      <c r="D116" s="216" t="s">
        <v>540</v>
      </c>
      <c r="E116" s="216" t="s">
        <v>507</v>
      </c>
      <c r="F116" s="216">
        <v>1</v>
      </c>
      <c r="G116" s="216">
        <v>200</v>
      </c>
      <c r="H116" s="216" t="s">
        <v>374</v>
      </c>
      <c r="I116" s="267">
        <f t="shared" si="0"/>
        <v>200</v>
      </c>
      <c r="J116" s="216">
        <v>200</v>
      </c>
      <c r="K116" s="268">
        <f t="shared" si="3"/>
        <v>200</v>
      </c>
      <c r="L116" s="218">
        <f t="shared" si="1"/>
        <v>20000000</v>
      </c>
      <c r="M116" s="219">
        <f t="shared" si="4"/>
        <v>6.0018605767788013E-3</v>
      </c>
      <c r="N116" s="39" t="s">
        <v>374</v>
      </c>
    </row>
    <row r="117" spans="2:14" s="50" customFormat="1" ht="14.7" customHeight="1">
      <c r="B117" s="440"/>
      <c r="C117" s="440"/>
      <c r="D117" s="216" t="s">
        <v>491</v>
      </c>
      <c r="E117" s="216" t="s">
        <v>507</v>
      </c>
      <c r="F117" s="216">
        <v>1</v>
      </c>
      <c r="G117" s="216">
        <v>200</v>
      </c>
      <c r="H117" s="216" t="s">
        <v>374</v>
      </c>
      <c r="I117" s="267">
        <f t="shared" si="0"/>
        <v>200</v>
      </c>
      <c r="J117" s="216">
        <v>200</v>
      </c>
      <c r="K117" s="268">
        <f t="shared" si="3"/>
        <v>200</v>
      </c>
      <c r="L117" s="218">
        <f t="shared" si="1"/>
        <v>20000000</v>
      </c>
      <c r="M117" s="219">
        <f t="shared" si="4"/>
        <v>6.0018605767788013E-3</v>
      </c>
      <c r="N117" s="39" t="s">
        <v>374</v>
      </c>
    </row>
    <row r="118" spans="2:14" s="50" customFormat="1" ht="14.7" customHeight="1">
      <c r="B118" s="440"/>
      <c r="C118" s="440"/>
      <c r="D118" s="216" t="s">
        <v>541</v>
      </c>
      <c r="E118" s="216" t="s">
        <v>507</v>
      </c>
      <c r="F118" s="216">
        <v>1</v>
      </c>
      <c r="G118" s="216">
        <v>200</v>
      </c>
      <c r="H118" s="216" t="s">
        <v>374</v>
      </c>
      <c r="I118" s="267">
        <f t="shared" si="0"/>
        <v>200</v>
      </c>
      <c r="J118" s="216">
        <v>200</v>
      </c>
      <c r="K118" s="268">
        <f t="shared" si="3"/>
        <v>200</v>
      </c>
      <c r="L118" s="218">
        <f t="shared" si="1"/>
        <v>20000000</v>
      </c>
      <c r="M118" s="219">
        <f t="shared" si="4"/>
        <v>6.0018605767788013E-3</v>
      </c>
      <c r="N118" s="39" t="s">
        <v>374</v>
      </c>
    </row>
    <row r="119" spans="2:14" s="50" customFormat="1" ht="14.7" customHeight="1">
      <c r="B119" s="440"/>
      <c r="C119" s="440"/>
      <c r="D119" s="216" t="s">
        <v>542</v>
      </c>
      <c r="E119" s="216" t="s">
        <v>507</v>
      </c>
      <c r="F119" s="216">
        <v>1</v>
      </c>
      <c r="G119" s="216">
        <v>200</v>
      </c>
      <c r="H119" s="216" t="s">
        <v>374</v>
      </c>
      <c r="I119" s="267">
        <f t="shared" si="0"/>
        <v>200</v>
      </c>
      <c r="J119" s="216">
        <v>200</v>
      </c>
      <c r="K119" s="268">
        <f t="shared" si="3"/>
        <v>200</v>
      </c>
      <c r="L119" s="218">
        <f t="shared" si="1"/>
        <v>20000000</v>
      </c>
      <c r="M119" s="219">
        <f t="shared" si="4"/>
        <v>6.0018605767788013E-3</v>
      </c>
      <c r="N119" s="39" t="s">
        <v>374</v>
      </c>
    </row>
    <row r="120" spans="2:14" s="50" customFormat="1" ht="14.7" customHeight="1">
      <c r="B120" s="440"/>
      <c r="C120" s="440"/>
      <c r="D120" s="216" t="s">
        <v>509</v>
      </c>
      <c r="E120" s="216" t="s">
        <v>507</v>
      </c>
      <c r="F120" s="216">
        <v>1</v>
      </c>
      <c r="G120" s="216">
        <v>200</v>
      </c>
      <c r="H120" s="216" t="s">
        <v>374</v>
      </c>
      <c r="I120" s="267">
        <f t="shared" si="0"/>
        <v>200</v>
      </c>
      <c r="J120" s="216">
        <v>200</v>
      </c>
      <c r="K120" s="268">
        <f t="shared" si="3"/>
        <v>200</v>
      </c>
      <c r="L120" s="218">
        <f t="shared" si="1"/>
        <v>20000000</v>
      </c>
      <c r="M120" s="219">
        <f t="shared" si="4"/>
        <v>6.0018605767788013E-3</v>
      </c>
      <c r="N120" s="39" t="s">
        <v>374</v>
      </c>
    </row>
    <row r="121" spans="2:14" s="50" customFormat="1" ht="14.7" customHeight="1">
      <c r="B121" s="440"/>
      <c r="C121" s="440"/>
      <c r="D121" s="216" t="s">
        <v>514</v>
      </c>
      <c r="E121" s="216" t="s">
        <v>519</v>
      </c>
      <c r="F121" s="216">
        <v>1</v>
      </c>
      <c r="G121" s="216">
        <v>92</v>
      </c>
      <c r="H121" s="216" t="s">
        <v>374</v>
      </c>
      <c r="I121" s="267">
        <f t="shared" si="0"/>
        <v>92</v>
      </c>
      <c r="J121" s="216">
        <v>92</v>
      </c>
      <c r="K121" s="268">
        <f t="shared" si="3"/>
        <v>92</v>
      </c>
      <c r="L121" s="218">
        <f t="shared" si="1"/>
        <v>9200000</v>
      </c>
      <c r="M121" s="219">
        <f t="shared" si="4"/>
        <v>2.7608558653182485E-3</v>
      </c>
      <c r="N121" s="39" t="s">
        <v>374</v>
      </c>
    </row>
    <row r="122" spans="2:14" s="50" customFormat="1" ht="14.7" customHeight="1">
      <c r="B122" s="440"/>
      <c r="C122" s="440"/>
      <c r="D122" s="216" t="s">
        <v>543</v>
      </c>
      <c r="E122" s="216" t="s">
        <v>519</v>
      </c>
      <c r="F122" s="216">
        <v>101</v>
      </c>
      <c r="G122" s="216">
        <v>200</v>
      </c>
      <c r="H122" s="216" t="s">
        <v>374</v>
      </c>
      <c r="I122" s="267">
        <f t="shared" si="0"/>
        <v>100</v>
      </c>
      <c r="J122" s="216">
        <v>100</v>
      </c>
      <c r="K122" s="268">
        <f t="shared" si="3"/>
        <v>100</v>
      </c>
      <c r="L122" s="218">
        <f t="shared" si="1"/>
        <v>10000000</v>
      </c>
      <c r="M122" s="219">
        <f t="shared" si="4"/>
        <v>3.0009302883894006E-3</v>
      </c>
      <c r="N122" s="39" t="s">
        <v>374</v>
      </c>
    </row>
    <row r="123" spans="2:14" s="50" customFormat="1" ht="14.7" customHeight="1">
      <c r="B123" s="440"/>
      <c r="C123" s="440"/>
      <c r="D123" s="216" t="s">
        <v>544</v>
      </c>
      <c r="E123" s="216" t="s">
        <v>519</v>
      </c>
      <c r="F123" s="216">
        <v>1</v>
      </c>
      <c r="G123" s="216">
        <v>200</v>
      </c>
      <c r="H123" s="216" t="s">
        <v>374</v>
      </c>
      <c r="I123" s="267">
        <f t="shared" si="0"/>
        <v>200</v>
      </c>
      <c r="J123" s="216">
        <v>200</v>
      </c>
      <c r="K123" s="268">
        <f t="shared" si="3"/>
        <v>200</v>
      </c>
      <c r="L123" s="218">
        <f t="shared" si="1"/>
        <v>20000000</v>
      </c>
      <c r="M123" s="219">
        <f t="shared" si="4"/>
        <v>6.0018605767788013E-3</v>
      </c>
      <c r="N123" s="39" t="s">
        <v>374</v>
      </c>
    </row>
    <row r="124" spans="2:14" s="50" customFormat="1" ht="14.7" customHeight="1">
      <c r="B124" s="440"/>
      <c r="C124" s="440"/>
      <c r="D124" s="216" t="s">
        <v>508</v>
      </c>
      <c r="E124" s="216" t="s">
        <v>540</v>
      </c>
      <c r="F124" s="216">
        <v>138</v>
      </c>
      <c r="G124" s="216">
        <v>200</v>
      </c>
      <c r="H124" s="216" t="s">
        <v>374</v>
      </c>
      <c r="I124" s="267">
        <f t="shared" si="0"/>
        <v>63</v>
      </c>
      <c r="J124" s="216">
        <v>63</v>
      </c>
      <c r="K124" s="268">
        <f t="shared" si="3"/>
        <v>63</v>
      </c>
      <c r="L124" s="218">
        <f t="shared" si="1"/>
        <v>6300000</v>
      </c>
      <c r="M124" s="219">
        <f t="shared" si="4"/>
        <v>1.8905860816853224E-3</v>
      </c>
      <c r="N124" s="39" t="s">
        <v>374</v>
      </c>
    </row>
    <row r="125" spans="2:14" s="50" customFormat="1" ht="14.7" customHeight="1">
      <c r="B125" s="440"/>
      <c r="C125" s="440"/>
      <c r="D125" s="216" t="s">
        <v>503</v>
      </c>
      <c r="E125" s="216" t="s">
        <v>540</v>
      </c>
      <c r="F125" s="216">
        <v>1</v>
      </c>
      <c r="G125" s="216">
        <v>200</v>
      </c>
      <c r="H125" s="216" t="s">
        <v>374</v>
      </c>
      <c r="I125" s="267">
        <f t="shared" ref="I125:I188" si="5">IF(H125="Ordinaria",+J125,0)</f>
        <v>200</v>
      </c>
      <c r="J125" s="216">
        <v>200</v>
      </c>
      <c r="K125" s="268">
        <f t="shared" si="3"/>
        <v>200</v>
      </c>
      <c r="L125" s="218">
        <f t="shared" ref="L125:L188" si="6">J125*100000</f>
        <v>20000000</v>
      </c>
      <c r="M125" s="219">
        <f t="shared" ref="M125:M156" si="7">+L125/$L$237</f>
        <v>6.0018605767788013E-3</v>
      </c>
      <c r="N125" s="39" t="s">
        <v>374</v>
      </c>
    </row>
    <row r="126" spans="2:14" s="50" customFormat="1" ht="14.7" customHeight="1">
      <c r="B126" s="440"/>
      <c r="C126" s="440"/>
      <c r="D126" s="216" t="s">
        <v>489</v>
      </c>
      <c r="E126" s="216" t="s">
        <v>541</v>
      </c>
      <c r="F126" s="216">
        <v>13</v>
      </c>
      <c r="G126" s="216">
        <v>2420</v>
      </c>
      <c r="H126" s="216" t="s">
        <v>374</v>
      </c>
      <c r="I126" s="267">
        <f t="shared" si="5"/>
        <v>2408</v>
      </c>
      <c r="J126" s="216">
        <v>2408</v>
      </c>
      <c r="K126" s="268">
        <f t="shared" ref="K126:K189" si="8">+I126</f>
        <v>2408</v>
      </c>
      <c r="L126" s="218">
        <f t="shared" si="6"/>
        <v>240800000</v>
      </c>
      <c r="M126" s="219">
        <f t="shared" si="7"/>
        <v>7.2262401344416763E-2</v>
      </c>
      <c r="N126" s="39" t="s">
        <v>374</v>
      </c>
    </row>
    <row r="127" spans="2:14" s="50" customFormat="1" ht="14.7" customHeight="1">
      <c r="B127" s="440">
        <v>6</v>
      </c>
      <c r="C127" s="440" t="s">
        <v>545</v>
      </c>
      <c r="D127" s="216" t="s">
        <v>487</v>
      </c>
      <c r="E127" s="216" t="s">
        <v>505</v>
      </c>
      <c r="F127" s="216">
        <v>166</v>
      </c>
      <c r="G127" s="216">
        <v>180</v>
      </c>
      <c r="H127" s="216" t="s">
        <v>374</v>
      </c>
      <c r="I127" s="267">
        <f t="shared" si="5"/>
        <v>15</v>
      </c>
      <c r="J127" s="216">
        <v>15</v>
      </c>
      <c r="K127" s="268">
        <f t="shared" si="8"/>
        <v>15</v>
      </c>
      <c r="L127" s="218">
        <f t="shared" si="6"/>
        <v>1500000</v>
      </c>
      <c r="M127" s="219">
        <f t="shared" si="7"/>
        <v>4.5013954325841011E-4</v>
      </c>
      <c r="N127" s="39" t="s">
        <v>374</v>
      </c>
    </row>
    <row r="128" spans="2:14" s="50" customFormat="1" ht="14.7" customHeight="1">
      <c r="B128" s="440"/>
      <c r="C128" s="440"/>
      <c r="D128" s="216" t="s">
        <v>512</v>
      </c>
      <c r="E128" s="216" t="s">
        <v>505</v>
      </c>
      <c r="F128" s="216">
        <v>200</v>
      </c>
      <c r="G128" s="216">
        <v>200</v>
      </c>
      <c r="H128" s="216" t="s">
        <v>374</v>
      </c>
      <c r="I128" s="267">
        <f t="shared" si="5"/>
        <v>1</v>
      </c>
      <c r="J128" s="216">
        <v>1</v>
      </c>
      <c r="K128" s="268">
        <f t="shared" si="8"/>
        <v>1</v>
      </c>
      <c r="L128" s="218">
        <f t="shared" si="6"/>
        <v>100000</v>
      </c>
      <c r="M128" s="219">
        <f t="shared" si="7"/>
        <v>3.0009302883894008E-5</v>
      </c>
      <c r="N128" s="39" t="s">
        <v>374</v>
      </c>
    </row>
    <row r="129" spans="2:14" s="50" customFormat="1" ht="14.7" customHeight="1">
      <c r="B129" s="440"/>
      <c r="C129" s="440"/>
      <c r="D129" s="216" t="s">
        <v>528</v>
      </c>
      <c r="E129" s="216" t="s">
        <v>505</v>
      </c>
      <c r="F129" s="216">
        <v>193</v>
      </c>
      <c r="G129" s="216">
        <v>200</v>
      </c>
      <c r="H129" s="216" t="s">
        <v>374</v>
      </c>
      <c r="I129" s="267">
        <f t="shared" si="5"/>
        <v>8</v>
      </c>
      <c r="J129" s="216">
        <v>8</v>
      </c>
      <c r="K129" s="268">
        <f t="shared" si="8"/>
        <v>8</v>
      </c>
      <c r="L129" s="218">
        <f t="shared" si="6"/>
        <v>800000</v>
      </c>
      <c r="M129" s="219">
        <f t="shared" si="7"/>
        <v>2.4007442307115206E-4</v>
      </c>
      <c r="N129" s="39" t="s">
        <v>374</v>
      </c>
    </row>
    <row r="130" spans="2:14" s="50" customFormat="1" ht="14.7" customHeight="1">
      <c r="B130" s="440"/>
      <c r="C130" s="440"/>
      <c r="D130" s="216" t="s">
        <v>546</v>
      </c>
      <c r="E130" s="216" t="s">
        <v>505</v>
      </c>
      <c r="F130" s="216">
        <v>184</v>
      </c>
      <c r="G130" s="216">
        <v>200</v>
      </c>
      <c r="H130" s="216" t="s">
        <v>374</v>
      </c>
      <c r="I130" s="267">
        <f t="shared" si="5"/>
        <v>17</v>
      </c>
      <c r="J130" s="216">
        <v>17</v>
      </c>
      <c r="K130" s="268">
        <f t="shared" si="8"/>
        <v>17</v>
      </c>
      <c r="L130" s="218">
        <f t="shared" si="6"/>
        <v>1700000</v>
      </c>
      <c r="M130" s="219">
        <f t="shared" si="7"/>
        <v>5.101581490261981E-4</v>
      </c>
      <c r="N130" s="39" t="s">
        <v>374</v>
      </c>
    </row>
    <row r="131" spans="2:14" s="50" customFormat="1" ht="14.7" customHeight="1">
      <c r="B131" s="440"/>
      <c r="C131" s="440"/>
      <c r="D131" s="216" t="s">
        <v>543</v>
      </c>
      <c r="E131" s="216" t="s">
        <v>505</v>
      </c>
      <c r="F131" s="216">
        <v>1</v>
      </c>
      <c r="G131" s="216">
        <v>6</v>
      </c>
      <c r="H131" s="216" t="s">
        <v>374</v>
      </c>
      <c r="I131" s="267">
        <f t="shared" si="5"/>
        <v>6</v>
      </c>
      <c r="J131" s="216">
        <v>6</v>
      </c>
      <c r="K131" s="268">
        <f t="shared" si="8"/>
        <v>6</v>
      </c>
      <c r="L131" s="218">
        <f t="shared" si="6"/>
        <v>600000</v>
      </c>
      <c r="M131" s="219">
        <f t="shared" si="7"/>
        <v>1.8005581730336405E-4</v>
      </c>
      <c r="N131" s="39" t="s">
        <v>374</v>
      </c>
    </row>
    <row r="132" spans="2:14" s="50" customFormat="1" ht="14.7" customHeight="1">
      <c r="B132" s="440"/>
      <c r="C132" s="440"/>
      <c r="D132" s="216" t="s">
        <v>535</v>
      </c>
      <c r="E132" s="216" t="s">
        <v>522</v>
      </c>
      <c r="F132" s="216">
        <v>171</v>
      </c>
      <c r="G132" s="216">
        <v>189</v>
      </c>
      <c r="H132" s="216" t="s">
        <v>374</v>
      </c>
      <c r="I132" s="267">
        <f t="shared" si="5"/>
        <v>19</v>
      </c>
      <c r="J132" s="216">
        <v>19</v>
      </c>
      <c r="K132" s="268">
        <f t="shared" si="8"/>
        <v>19</v>
      </c>
      <c r="L132" s="218">
        <f t="shared" si="6"/>
        <v>1900000</v>
      </c>
      <c r="M132" s="219">
        <f t="shared" si="7"/>
        <v>5.7017675479398614E-4</v>
      </c>
      <c r="N132" s="39" t="s">
        <v>374</v>
      </c>
    </row>
    <row r="133" spans="2:14" s="50" customFormat="1" ht="14.7" customHeight="1">
      <c r="B133" s="440">
        <v>7</v>
      </c>
      <c r="C133" s="440" t="s">
        <v>547</v>
      </c>
      <c r="D133" s="216" t="s">
        <v>487</v>
      </c>
      <c r="E133" s="216" t="s">
        <v>540</v>
      </c>
      <c r="F133" s="216">
        <v>196</v>
      </c>
      <c r="G133" s="216">
        <v>196</v>
      </c>
      <c r="H133" s="216" t="s">
        <v>374</v>
      </c>
      <c r="I133" s="267">
        <f t="shared" si="5"/>
        <v>1</v>
      </c>
      <c r="J133" s="216">
        <v>1</v>
      </c>
      <c r="K133" s="268">
        <f t="shared" si="8"/>
        <v>1</v>
      </c>
      <c r="L133" s="218">
        <f t="shared" si="6"/>
        <v>100000</v>
      </c>
      <c r="M133" s="219">
        <f t="shared" si="7"/>
        <v>3.0009302883894008E-5</v>
      </c>
      <c r="N133" s="39" t="s">
        <v>374</v>
      </c>
    </row>
    <row r="134" spans="2:14" s="50" customFormat="1" ht="14.7" customHeight="1">
      <c r="B134" s="440"/>
      <c r="C134" s="440"/>
      <c r="D134" s="216" t="s">
        <v>487</v>
      </c>
      <c r="E134" s="216" t="s">
        <v>491</v>
      </c>
      <c r="F134" s="216">
        <v>197</v>
      </c>
      <c r="G134" s="216">
        <v>197</v>
      </c>
      <c r="H134" s="216" t="s">
        <v>374</v>
      </c>
      <c r="I134" s="267">
        <f t="shared" si="5"/>
        <v>1</v>
      </c>
      <c r="J134" s="216">
        <v>1</v>
      </c>
      <c r="K134" s="268">
        <f t="shared" si="8"/>
        <v>1</v>
      </c>
      <c r="L134" s="218">
        <f t="shared" si="6"/>
        <v>100000</v>
      </c>
      <c r="M134" s="219">
        <f t="shared" si="7"/>
        <v>3.0009302883894008E-5</v>
      </c>
      <c r="N134" s="39" t="s">
        <v>374</v>
      </c>
    </row>
    <row r="135" spans="2:14" s="50" customFormat="1" ht="14.7" customHeight="1">
      <c r="B135" s="440"/>
      <c r="C135" s="440"/>
      <c r="D135" s="216" t="s">
        <v>520</v>
      </c>
      <c r="E135" s="216" t="s">
        <v>548</v>
      </c>
      <c r="F135" s="216">
        <v>51</v>
      </c>
      <c r="G135" s="216">
        <v>100</v>
      </c>
      <c r="H135" s="216" t="s">
        <v>374</v>
      </c>
      <c r="I135" s="267">
        <f t="shared" si="5"/>
        <v>50</v>
      </c>
      <c r="J135" s="216">
        <v>50</v>
      </c>
      <c r="K135" s="268">
        <f t="shared" si="8"/>
        <v>50</v>
      </c>
      <c r="L135" s="218">
        <f t="shared" si="6"/>
        <v>5000000</v>
      </c>
      <c r="M135" s="219">
        <f t="shared" si="7"/>
        <v>1.5004651441947003E-3</v>
      </c>
      <c r="N135" s="39" t="s">
        <v>374</v>
      </c>
    </row>
    <row r="136" spans="2:14" s="50" customFormat="1" ht="14.7" customHeight="1">
      <c r="B136" s="440"/>
      <c r="C136" s="440"/>
      <c r="D136" s="216" t="s">
        <v>520</v>
      </c>
      <c r="E136" s="216" t="s">
        <v>549</v>
      </c>
      <c r="F136" s="216">
        <v>101</v>
      </c>
      <c r="G136" s="216">
        <v>110</v>
      </c>
      <c r="H136" s="216" t="s">
        <v>374</v>
      </c>
      <c r="I136" s="267">
        <f t="shared" si="5"/>
        <v>10</v>
      </c>
      <c r="J136" s="216">
        <v>10</v>
      </c>
      <c r="K136" s="268">
        <f t="shared" si="8"/>
        <v>10</v>
      </c>
      <c r="L136" s="218">
        <f t="shared" si="6"/>
        <v>1000000</v>
      </c>
      <c r="M136" s="219">
        <f t="shared" si="7"/>
        <v>3.0009302883894005E-4</v>
      </c>
      <c r="N136" s="39" t="s">
        <v>374</v>
      </c>
    </row>
    <row r="137" spans="2:14" s="50" customFormat="1" ht="14.7" customHeight="1">
      <c r="B137" s="440"/>
      <c r="C137" s="440"/>
      <c r="D137" s="216" t="s">
        <v>520</v>
      </c>
      <c r="E137" s="216" t="s">
        <v>550</v>
      </c>
      <c r="F137" s="216">
        <v>111</v>
      </c>
      <c r="G137" s="216">
        <v>120</v>
      </c>
      <c r="H137" s="216" t="s">
        <v>374</v>
      </c>
      <c r="I137" s="267">
        <f t="shared" si="5"/>
        <v>10</v>
      </c>
      <c r="J137" s="216">
        <v>10</v>
      </c>
      <c r="K137" s="268">
        <f t="shared" si="8"/>
        <v>10</v>
      </c>
      <c r="L137" s="218">
        <f t="shared" si="6"/>
        <v>1000000</v>
      </c>
      <c r="M137" s="219">
        <f t="shared" si="7"/>
        <v>3.0009302883894005E-4</v>
      </c>
      <c r="N137" s="39" t="s">
        <v>374</v>
      </c>
    </row>
    <row r="138" spans="2:14" s="50" customFormat="1" ht="14.7" customHeight="1">
      <c r="B138" s="440"/>
      <c r="C138" s="440"/>
      <c r="D138" s="216" t="s">
        <v>520</v>
      </c>
      <c r="E138" s="216" t="s">
        <v>551</v>
      </c>
      <c r="F138" s="216">
        <v>121</v>
      </c>
      <c r="G138" s="216">
        <v>125</v>
      </c>
      <c r="H138" s="216" t="s">
        <v>374</v>
      </c>
      <c r="I138" s="267">
        <f t="shared" si="5"/>
        <v>5</v>
      </c>
      <c r="J138" s="216">
        <v>5</v>
      </c>
      <c r="K138" s="268">
        <f t="shared" si="8"/>
        <v>5</v>
      </c>
      <c r="L138" s="218">
        <f t="shared" si="6"/>
        <v>500000</v>
      </c>
      <c r="M138" s="219">
        <f t="shared" si="7"/>
        <v>1.5004651441947003E-4</v>
      </c>
      <c r="N138" s="39" t="s">
        <v>374</v>
      </c>
    </row>
    <row r="139" spans="2:14" s="50" customFormat="1" ht="14.7" customHeight="1">
      <c r="B139" s="440"/>
      <c r="C139" s="440"/>
      <c r="D139" s="216" t="s">
        <v>520</v>
      </c>
      <c r="E139" s="216" t="s">
        <v>552</v>
      </c>
      <c r="F139" s="216">
        <v>126</v>
      </c>
      <c r="G139" s="216">
        <v>135</v>
      </c>
      <c r="H139" s="216" t="s">
        <v>374</v>
      </c>
      <c r="I139" s="267">
        <f t="shared" si="5"/>
        <v>10</v>
      </c>
      <c r="J139" s="216">
        <v>10</v>
      </c>
      <c r="K139" s="268">
        <f t="shared" si="8"/>
        <v>10</v>
      </c>
      <c r="L139" s="218">
        <f t="shared" si="6"/>
        <v>1000000</v>
      </c>
      <c r="M139" s="219">
        <f t="shared" si="7"/>
        <v>3.0009302883894005E-4</v>
      </c>
      <c r="N139" s="39" t="s">
        <v>374</v>
      </c>
    </row>
    <row r="140" spans="2:14" s="50" customFormat="1" ht="14.7" customHeight="1">
      <c r="B140" s="440"/>
      <c r="C140" s="440"/>
      <c r="D140" s="216" t="s">
        <v>520</v>
      </c>
      <c r="E140" s="216" t="s">
        <v>553</v>
      </c>
      <c r="F140" s="216">
        <v>136</v>
      </c>
      <c r="G140" s="216">
        <v>145</v>
      </c>
      <c r="H140" s="216" t="s">
        <v>374</v>
      </c>
      <c r="I140" s="267">
        <f t="shared" si="5"/>
        <v>10</v>
      </c>
      <c r="J140" s="216">
        <v>10</v>
      </c>
      <c r="K140" s="268">
        <f t="shared" si="8"/>
        <v>10</v>
      </c>
      <c r="L140" s="218">
        <f t="shared" si="6"/>
        <v>1000000</v>
      </c>
      <c r="M140" s="219">
        <f t="shared" si="7"/>
        <v>3.0009302883894005E-4</v>
      </c>
      <c r="N140" s="39" t="s">
        <v>374</v>
      </c>
    </row>
    <row r="141" spans="2:14" s="50" customFormat="1" ht="14.7" customHeight="1">
      <c r="B141" s="440"/>
      <c r="C141" s="440"/>
      <c r="D141" s="216" t="s">
        <v>520</v>
      </c>
      <c r="E141" s="216" t="s">
        <v>554</v>
      </c>
      <c r="F141" s="216">
        <v>146</v>
      </c>
      <c r="G141" s="216">
        <v>155</v>
      </c>
      <c r="H141" s="216" t="s">
        <v>374</v>
      </c>
      <c r="I141" s="267">
        <f t="shared" si="5"/>
        <v>10</v>
      </c>
      <c r="J141" s="216">
        <v>10</v>
      </c>
      <c r="K141" s="268">
        <f t="shared" si="8"/>
        <v>10</v>
      </c>
      <c r="L141" s="218">
        <f t="shared" si="6"/>
        <v>1000000</v>
      </c>
      <c r="M141" s="219">
        <f t="shared" si="7"/>
        <v>3.0009302883894005E-4</v>
      </c>
      <c r="N141" s="39" t="s">
        <v>374</v>
      </c>
    </row>
    <row r="142" spans="2:14" s="50" customFormat="1" ht="14.7" customHeight="1">
      <c r="B142" s="440"/>
      <c r="C142" s="440"/>
      <c r="D142" s="216" t="s">
        <v>520</v>
      </c>
      <c r="E142" s="216" t="s">
        <v>555</v>
      </c>
      <c r="F142" s="216">
        <v>156</v>
      </c>
      <c r="G142" s="216">
        <v>160</v>
      </c>
      <c r="H142" s="216" t="s">
        <v>374</v>
      </c>
      <c r="I142" s="267">
        <f t="shared" si="5"/>
        <v>5</v>
      </c>
      <c r="J142" s="216">
        <v>5</v>
      </c>
      <c r="K142" s="268">
        <f t="shared" si="8"/>
        <v>5</v>
      </c>
      <c r="L142" s="218">
        <f t="shared" si="6"/>
        <v>500000</v>
      </c>
      <c r="M142" s="219">
        <f t="shared" si="7"/>
        <v>1.5004651441947003E-4</v>
      </c>
      <c r="N142" s="39" t="s">
        <v>374</v>
      </c>
    </row>
    <row r="143" spans="2:14" s="50" customFormat="1" ht="14.7" customHeight="1">
      <c r="B143" s="440"/>
      <c r="C143" s="440"/>
      <c r="D143" s="216" t="s">
        <v>520</v>
      </c>
      <c r="E143" s="216" t="s">
        <v>556</v>
      </c>
      <c r="F143" s="216">
        <v>161</v>
      </c>
      <c r="G143" s="216">
        <v>161</v>
      </c>
      <c r="H143" s="216" t="s">
        <v>374</v>
      </c>
      <c r="I143" s="267">
        <f t="shared" si="5"/>
        <v>1</v>
      </c>
      <c r="J143" s="216">
        <v>1</v>
      </c>
      <c r="K143" s="268">
        <f t="shared" si="8"/>
        <v>1</v>
      </c>
      <c r="L143" s="218">
        <f t="shared" si="6"/>
        <v>100000</v>
      </c>
      <c r="M143" s="219">
        <f t="shared" si="7"/>
        <v>3.0009302883894008E-5</v>
      </c>
      <c r="N143" s="39" t="s">
        <v>374</v>
      </c>
    </row>
    <row r="144" spans="2:14" s="50" customFormat="1" ht="14.7" customHeight="1">
      <c r="B144" s="440"/>
      <c r="C144" s="440"/>
      <c r="D144" s="216" t="s">
        <v>520</v>
      </c>
      <c r="E144" s="216" t="s">
        <v>557</v>
      </c>
      <c r="F144" s="216">
        <v>162</v>
      </c>
      <c r="G144" s="216">
        <v>162</v>
      </c>
      <c r="H144" s="216" t="s">
        <v>374</v>
      </c>
      <c r="I144" s="267">
        <f t="shared" si="5"/>
        <v>1</v>
      </c>
      <c r="J144" s="216">
        <v>1</v>
      </c>
      <c r="K144" s="268">
        <f t="shared" si="8"/>
        <v>1</v>
      </c>
      <c r="L144" s="218">
        <f t="shared" si="6"/>
        <v>100000</v>
      </c>
      <c r="M144" s="219">
        <f t="shared" si="7"/>
        <v>3.0009302883894008E-5</v>
      </c>
      <c r="N144" s="39" t="s">
        <v>374</v>
      </c>
    </row>
    <row r="145" spans="2:14" s="50" customFormat="1" ht="14.7" customHeight="1">
      <c r="B145" s="440"/>
      <c r="C145" s="440"/>
      <c r="D145" s="216" t="s">
        <v>520</v>
      </c>
      <c r="E145" s="216" t="s">
        <v>558</v>
      </c>
      <c r="F145" s="216">
        <v>163</v>
      </c>
      <c r="G145" s="216">
        <v>163</v>
      </c>
      <c r="H145" s="216" t="s">
        <v>374</v>
      </c>
      <c r="I145" s="267">
        <f t="shared" si="5"/>
        <v>1</v>
      </c>
      <c r="J145" s="216">
        <v>1</v>
      </c>
      <c r="K145" s="268">
        <f t="shared" si="8"/>
        <v>1</v>
      </c>
      <c r="L145" s="218">
        <f t="shared" si="6"/>
        <v>100000</v>
      </c>
      <c r="M145" s="219">
        <f t="shared" si="7"/>
        <v>3.0009302883894008E-5</v>
      </c>
      <c r="N145" s="39" t="s">
        <v>374</v>
      </c>
    </row>
    <row r="146" spans="2:14" s="50" customFormat="1" ht="14.7" customHeight="1">
      <c r="B146" s="440"/>
      <c r="C146" s="440"/>
      <c r="D146" s="216" t="s">
        <v>520</v>
      </c>
      <c r="E146" s="216" t="s">
        <v>559</v>
      </c>
      <c r="F146" s="216">
        <v>164</v>
      </c>
      <c r="G146" s="216">
        <v>164</v>
      </c>
      <c r="H146" s="216" t="s">
        <v>374</v>
      </c>
      <c r="I146" s="267">
        <f t="shared" si="5"/>
        <v>1</v>
      </c>
      <c r="J146" s="216">
        <v>1</v>
      </c>
      <c r="K146" s="268">
        <f t="shared" si="8"/>
        <v>1</v>
      </c>
      <c r="L146" s="218">
        <f t="shared" si="6"/>
        <v>100000</v>
      </c>
      <c r="M146" s="219">
        <f t="shared" si="7"/>
        <v>3.0009302883894008E-5</v>
      </c>
      <c r="N146" s="39" t="s">
        <v>374</v>
      </c>
    </row>
    <row r="147" spans="2:14" s="50" customFormat="1" ht="14.7" customHeight="1">
      <c r="B147" s="440"/>
      <c r="C147" s="440"/>
      <c r="D147" s="216" t="s">
        <v>520</v>
      </c>
      <c r="E147" s="216" t="s">
        <v>560</v>
      </c>
      <c r="F147" s="216">
        <v>165</v>
      </c>
      <c r="G147" s="216">
        <v>174</v>
      </c>
      <c r="H147" s="216" t="s">
        <v>374</v>
      </c>
      <c r="I147" s="267">
        <f t="shared" si="5"/>
        <v>10</v>
      </c>
      <c r="J147" s="216">
        <v>10</v>
      </c>
      <c r="K147" s="268">
        <f t="shared" si="8"/>
        <v>10</v>
      </c>
      <c r="L147" s="218">
        <f t="shared" si="6"/>
        <v>1000000</v>
      </c>
      <c r="M147" s="219">
        <f t="shared" si="7"/>
        <v>3.0009302883894005E-4</v>
      </c>
      <c r="N147" s="39" t="s">
        <v>374</v>
      </c>
    </row>
    <row r="148" spans="2:14" s="50" customFormat="1" ht="14.7" customHeight="1">
      <c r="B148" s="440"/>
      <c r="C148" s="440"/>
      <c r="D148" s="216" t="s">
        <v>520</v>
      </c>
      <c r="E148" s="216" t="s">
        <v>561</v>
      </c>
      <c r="F148" s="216">
        <v>175</v>
      </c>
      <c r="G148" s="216">
        <v>179</v>
      </c>
      <c r="H148" s="216" t="s">
        <v>374</v>
      </c>
      <c r="I148" s="267">
        <f t="shared" si="5"/>
        <v>5</v>
      </c>
      <c r="J148" s="216">
        <v>5</v>
      </c>
      <c r="K148" s="268">
        <f t="shared" si="8"/>
        <v>5</v>
      </c>
      <c r="L148" s="218">
        <f t="shared" si="6"/>
        <v>500000</v>
      </c>
      <c r="M148" s="219">
        <f t="shared" si="7"/>
        <v>1.5004651441947003E-4</v>
      </c>
      <c r="N148" s="39" t="s">
        <v>374</v>
      </c>
    </row>
    <row r="149" spans="2:14" s="50" customFormat="1" ht="14.7" customHeight="1">
      <c r="B149" s="440"/>
      <c r="C149" s="440"/>
      <c r="D149" s="216" t="s">
        <v>520</v>
      </c>
      <c r="E149" s="216" t="s">
        <v>562</v>
      </c>
      <c r="F149" s="216">
        <v>180</v>
      </c>
      <c r="G149" s="216">
        <v>180</v>
      </c>
      <c r="H149" s="216" t="s">
        <v>374</v>
      </c>
      <c r="I149" s="267">
        <f t="shared" si="5"/>
        <v>1</v>
      </c>
      <c r="J149" s="216">
        <v>1</v>
      </c>
      <c r="K149" s="268">
        <f t="shared" si="8"/>
        <v>1</v>
      </c>
      <c r="L149" s="218">
        <f t="shared" si="6"/>
        <v>100000</v>
      </c>
      <c r="M149" s="219">
        <f t="shared" si="7"/>
        <v>3.0009302883894008E-5</v>
      </c>
      <c r="N149" s="39" t="s">
        <v>374</v>
      </c>
    </row>
    <row r="150" spans="2:14" s="50" customFormat="1" ht="14.7" customHeight="1">
      <c r="B150" s="440"/>
      <c r="C150" s="440"/>
      <c r="D150" s="216" t="s">
        <v>520</v>
      </c>
      <c r="E150" s="216" t="s">
        <v>563</v>
      </c>
      <c r="F150" s="216">
        <v>181</v>
      </c>
      <c r="G150" s="216">
        <v>181</v>
      </c>
      <c r="H150" s="216" t="s">
        <v>374</v>
      </c>
      <c r="I150" s="267">
        <f t="shared" si="5"/>
        <v>1</v>
      </c>
      <c r="J150" s="216">
        <v>1</v>
      </c>
      <c r="K150" s="268">
        <f t="shared" si="8"/>
        <v>1</v>
      </c>
      <c r="L150" s="218">
        <f t="shared" si="6"/>
        <v>100000</v>
      </c>
      <c r="M150" s="219">
        <f t="shared" si="7"/>
        <v>3.0009302883894008E-5</v>
      </c>
      <c r="N150" s="39" t="s">
        <v>374</v>
      </c>
    </row>
    <row r="151" spans="2:14" s="50" customFormat="1" ht="14.7" customHeight="1">
      <c r="B151" s="440"/>
      <c r="C151" s="440"/>
      <c r="D151" s="216" t="s">
        <v>520</v>
      </c>
      <c r="E151" s="216" t="s">
        <v>564</v>
      </c>
      <c r="F151" s="216">
        <v>182</v>
      </c>
      <c r="G151" s="216">
        <v>191</v>
      </c>
      <c r="H151" s="216" t="s">
        <v>374</v>
      </c>
      <c r="I151" s="267">
        <f t="shared" si="5"/>
        <v>10</v>
      </c>
      <c r="J151" s="216">
        <v>10</v>
      </c>
      <c r="K151" s="268">
        <f t="shared" si="8"/>
        <v>10</v>
      </c>
      <c r="L151" s="218">
        <f t="shared" si="6"/>
        <v>1000000</v>
      </c>
      <c r="M151" s="219">
        <f t="shared" si="7"/>
        <v>3.0009302883894005E-4</v>
      </c>
      <c r="N151" s="39" t="s">
        <v>374</v>
      </c>
    </row>
    <row r="152" spans="2:14" s="50" customFormat="1" ht="14.7" customHeight="1">
      <c r="B152" s="440"/>
      <c r="C152" s="440"/>
      <c r="D152" s="216" t="s">
        <v>516</v>
      </c>
      <c r="E152" s="216" t="s">
        <v>565</v>
      </c>
      <c r="F152" s="216">
        <v>77</v>
      </c>
      <c r="G152" s="216">
        <v>216</v>
      </c>
      <c r="H152" s="216" t="s">
        <v>374</v>
      </c>
      <c r="I152" s="267">
        <f t="shared" si="5"/>
        <v>140</v>
      </c>
      <c r="J152" s="216">
        <v>140</v>
      </c>
      <c r="K152" s="268">
        <f t="shared" si="8"/>
        <v>140</v>
      </c>
      <c r="L152" s="218">
        <f t="shared" si="6"/>
        <v>14000000</v>
      </c>
      <c r="M152" s="219">
        <f t="shared" si="7"/>
        <v>4.2013024037451611E-3</v>
      </c>
      <c r="N152" s="39" t="s">
        <v>374</v>
      </c>
    </row>
    <row r="153" spans="2:14" s="50" customFormat="1" ht="14.7" customHeight="1">
      <c r="B153" s="440"/>
      <c r="C153" s="440"/>
      <c r="D153" s="216" t="s">
        <v>566</v>
      </c>
      <c r="E153" s="216" t="s">
        <v>567</v>
      </c>
      <c r="F153" s="216">
        <v>78</v>
      </c>
      <c r="G153" s="216">
        <v>217</v>
      </c>
      <c r="H153" s="216" t="s">
        <v>374</v>
      </c>
      <c r="I153" s="267">
        <f t="shared" si="5"/>
        <v>140</v>
      </c>
      <c r="J153" s="216">
        <v>140</v>
      </c>
      <c r="K153" s="268">
        <f t="shared" si="8"/>
        <v>140</v>
      </c>
      <c r="L153" s="218">
        <f t="shared" si="6"/>
        <v>14000000</v>
      </c>
      <c r="M153" s="219">
        <f t="shared" si="7"/>
        <v>4.2013024037451611E-3</v>
      </c>
      <c r="N153" s="39" t="s">
        <v>374</v>
      </c>
    </row>
    <row r="154" spans="2:14" s="50" customFormat="1" ht="14.7" customHeight="1">
      <c r="B154" s="440"/>
      <c r="C154" s="440"/>
      <c r="D154" s="216" t="s">
        <v>568</v>
      </c>
      <c r="E154" s="216" t="s">
        <v>569</v>
      </c>
      <c r="F154" s="216">
        <v>55</v>
      </c>
      <c r="G154" s="216">
        <v>56</v>
      </c>
      <c r="H154" s="216" t="s">
        <v>374</v>
      </c>
      <c r="I154" s="267">
        <f t="shared" si="5"/>
        <v>2</v>
      </c>
      <c r="J154" s="216">
        <v>2</v>
      </c>
      <c r="K154" s="268">
        <f t="shared" si="8"/>
        <v>2</v>
      </c>
      <c r="L154" s="218">
        <f t="shared" si="6"/>
        <v>200000</v>
      </c>
      <c r="M154" s="219">
        <f t="shared" si="7"/>
        <v>6.0018605767788016E-5</v>
      </c>
      <c r="N154" s="39" t="s">
        <v>374</v>
      </c>
    </row>
    <row r="155" spans="2:14" s="50" customFormat="1" ht="14.7" customHeight="1">
      <c r="B155" s="440"/>
      <c r="C155" s="440"/>
      <c r="D155" s="216" t="s">
        <v>570</v>
      </c>
      <c r="E155" s="216" t="s">
        <v>571</v>
      </c>
      <c r="F155" s="216">
        <v>202</v>
      </c>
      <c r="G155" s="216">
        <v>300</v>
      </c>
      <c r="H155" s="216" t="s">
        <v>374</v>
      </c>
      <c r="I155" s="267">
        <f t="shared" si="5"/>
        <v>99</v>
      </c>
      <c r="J155" s="216">
        <v>99</v>
      </c>
      <c r="K155" s="268">
        <f t="shared" si="8"/>
        <v>99</v>
      </c>
      <c r="L155" s="218">
        <f t="shared" si="6"/>
        <v>9900000</v>
      </c>
      <c r="M155" s="219">
        <f t="shared" si="7"/>
        <v>2.9709209855055068E-3</v>
      </c>
      <c r="N155" s="39" t="s">
        <v>374</v>
      </c>
    </row>
    <row r="156" spans="2:14">
      <c r="B156" s="440"/>
      <c r="C156" s="440"/>
      <c r="D156" s="216" t="s">
        <v>572</v>
      </c>
      <c r="E156" s="216" t="s">
        <v>573</v>
      </c>
      <c r="F156" s="216">
        <v>1</v>
      </c>
      <c r="G156" s="216">
        <v>21</v>
      </c>
      <c r="H156" s="216" t="s">
        <v>374</v>
      </c>
      <c r="I156" s="267">
        <f t="shared" si="5"/>
        <v>21</v>
      </c>
      <c r="J156" s="216">
        <v>21</v>
      </c>
      <c r="K156" s="268">
        <f t="shared" si="8"/>
        <v>21</v>
      </c>
      <c r="L156" s="218">
        <f t="shared" si="6"/>
        <v>2100000</v>
      </c>
      <c r="M156" s="219">
        <f t="shared" si="7"/>
        <v>6.3019536056177418E-4</v>
      </c>
      <c r="N156" s="39" t="s">
        <v>374</v>
      </c>
    </row>
    <row r="157" spans="2:14">
      <c r="B157" s="440"/>
      <c r="C157" s="440"/>
      <c r="D157" s="216" t="s">
        <v>574</v>
      </c>
      <c r="E157" s="216" t="s">
        <v>513</v>
      </c>
      <c r="F157" s="216">
        <v>7</v>
      </c>
      <c r="G157" s="216">
        <v>172</v>
      </c>
      <c r="H157" s="216" t="s">
        <v>374</v>
      </c>
      <c r="I157" s="267">
        <f t="shared" si="5"/>
        <v>166</v>
      </c>
      <c r="J157" s="216">
        <v>166</v>
      </c>
      <c r="K157" s="268">
        <f t="shared" si="8"/>
        <v>166</v>
      </c>
      <c r="L157" s="218">
        <f t="shared" si="6"/>
        <v>16600000</v>
      </c>
      <c r="M157" s="219">
        <f t="shared" ref="M157:M172" si="9">+L157/$L$237</f>
        <v>4.9815442787264049E-3</v>
      </c>
      <c r="N157" s="39" t="s">
        <v>374</v>
      </c>
    </row>
    <row r="158" spans="2:14">
      <c r="B158" s="440">
        <v>8</v>
      </c>
      <c r="C158" s="440" t="s">
        <v>575</v>
      </c>
      <c r="D158" s="216" t="s">
        <v>519</v>
      </c>
      <c r="E158" s="216">
        <v>57</v>
      </c>
      <c r="F158" s="216">
        <v>171</v>
      </c>
      <c r="G158" s="216">
        <v>180</v>
      </c>
      <c r="H158" s="216" t="s">
        <v>374</v>
      </c>
      <c r="I158" s="267">
        <f t="shared" si="5"/>
        <v>10</v>
      </c>
      <c r="J158" s="216">
        <v>10</v>
      </c>
      <c r="K158" s="268">
        <f t="shared" si="8"/>
        <v>10</v>
      </c>
      <c r="L158" s="218">
        <f t="shared" si="6"/>
        <v>1000000</v>
      </c>
      <c r="M158" s="219">
        <f t="shared" si="9"/>
        <v>3.0009302883894005E-4</v>
      </c>
      <c r="N158" s="39" t="s">
        <v>374</v>
      </c>
    </row>
    <row r="159" spans="2:14" s="50" customFormat="1">
      <c r="B159" s="440"/>
      <c r="C159" s="440"/>
      <c r="D159" s="216" t="s">
        <v>519</v>
      </c>
      <c r="E159" s="216">
        <v>58</v>
      </c>
      <c r="F159" s="216">
        <v>181</v>
      </c>
      <c r="G159" s="216">
        <v>190</v>
      </c>
      <c r="H159" s="216" t="s">
        <v>374</v>
      </c>
      <c r="I159" s="267">
        <f t="shared" si="5"/>
        <v>10</v>
      </c>
      <c r="J159" s="216">
        <v>10</v>
      </c>
      <c r="K159" s="268">
        <f t="shared" si="8"/>
        <v>10</v>
      </c>
      <c r="L159" s="218">
        <f t="shared" si="6"/>
        <v>1000000</v>
      </c>
      <c r="M159" s="219">
        <f t="shared" si="9"/>
        <v>3.0009302883894005E-4</v>
      </c>
      <c r="N159" s="39" t="s">
        <v>374</v>
      </c>
    </row>
    <row r="160" spans="2:14" s="50" customFormat="1">
      <c r="B160" s="440"/>
      <c r="C160" s="440"/>
      <c r="D160" s="216" t="s">
        <v>519</v>
      </c>
      <c r="E160" s="216">
        <v>59</v>
      </c>
      <c r="F160" s="216">
        <v>191</v>
      </c>
      <c r="G160" s="216">
        <v>200</v>
      </c>
      <c r="H160" s="216" t="s">
        <v>374</v>
      </c>
      <c r="I160" s="267">
        <f t="shared" si="5"/>
        <v>10</v>
      </c>
      <c r="J160" s="216">
        <v>10</v>
      </c>
      <c r="K160" s="268">
        <f t="shared" si="8"/>
        <v>10</v>
      </c>
      <c r="L160" s="218">
        <f t="shared" si="6"/>
        <v>1000000</v>
      </c>
      <c r="M160" s="219">
        <f t="shared" si="9"/>
        <v>3.0009302883894005E-4</v>
      </c>
      <c r="N160" s="39" t="s">
        <v>374</v>
      </c>
    </row>
    <row r="161" spans="2:14" s="50" customFormat="1">
      <c r="B161" s="440"/>
      <c r="C161" s="440"/>
      <c r="D161" s="216" t="s">
        <v>516</v>
      </c>
      <c r="E161" s="216">
        <v>126</v>
      </c>
      <c r="F161" s="216">
        <v>217</v>
      </c>
      <c r="G161" s="216">
        <v>245</v>
      </c>
      <c r="H161" s="216" t="s">
        <v>374</v>
      </c>
      <c r="I161" s="267">
        <f t="shared" si="5"/>
        <v>29</v>
      </c>
      <c r="J161" s="216">
        <v>29</v>
      </c>
      <c r="K161" s="268">
        <f t="shared" si="8"/>
        <v>29</v>
      </c>
      <c r="L161" s="218">
        <f t="shared" si="6"/>
        <v>2900000</v>
      </c>
      <c r="M161" s="219">
        <f t="shared" si="9"/>
        <v>8.7026978363292625E-4</v>
      </c>
      <c r="N161" s="39" t="s">
        <v>374</v>
      </c>
    </row>
    <row r="162" spans="2:14" s="50" customFormat="1">
      <c r="B162" s="440"/>
      <c r="C162" s="440"/>
      <c r="D162" s="216" t="s">
        <v>566</v>
      </c>
      <c r="E162" s="216">
        <v>149</v>
      </c>
      <c r="F162" s="216">
        <v>265</v>
      </c>
      <c r="G162" s="216">
        <v>293</v>
      </c>
      <c r="H162" s="216" t="s">
        <v>374</v>
      </c>
      <c r="I162" s="267">
        <f t="shared" si="5"/>
        <v>29</v>
      </c>
      <c r="J162" s="216">
        <v>29</v>
      </c>
      <c r="K162" s="268">
        <f t="shared" si="8"/>
        <v>29</v>
      </c>
      <c r="L162" s="218">
        <f t="shared" si="6"/>
        <v>2900000</v>
      </c>
      <c r="M162" s="219">
        <f t="shared" si="9"/>
        <v>8.7026978363292625E-4</v>
      </c>
      <c r="N162" s="39" t="s">
        <v>374</v>
      </c>
    </row>
    <row r="163" spans="2:14" s="50" customFormat="1">
      <c r="B163" s="440"/>
      <c r="C163" s="440"/>
      <c r="D163" s="216" t="s">
        <v>576</v>
      </c>
      <c r="E163" s="216">
        <v>4</v>
      </c>
      <c r="F163" s="216">
        <v>26</v>
      </c>
      <c r="G163" s="216">
        <v>60</v>
      </c>
      <c r="H163" s="216" t="s">
        <v>374</v>
      </c>
      <c r="I163" s="267">
        <f t="shared" si="5"/>
        <v>35</v>
      </c>
      <c r="J163" s="216">
        <v>35</v>
      </c>
      <c r="K163" s="268">
        <f t="shared" si="8"/>
        <v>35</v>
      </c>
      <c r="L163" s="218">
        <f t="shared" si="6"/>
        <v>3500000</v>
      </c>
      <c r="M163" s="219">
        <f t="shared" si="9"/>
        <v>1.0503256009362903E-3</v>
      </c>
      <c r="N163" s="39" t="s">
        <v>374</v>
      </c>
    </row>
    <row r="164" spans="2:14">
      <c r="B164" s="440">
        <v>9</v>
      </c>
      <c r="C164" s="440" t="s">
        <v>577</v>
      </c>
      <c r="D164" s="216" t="s">
        <v>512</v>
      </c>
      <c r="E164" s="216">
        <v>26</v>
      </c>
      <c r="F164" s="216">
        <v>101</v>
      </c>
      <c r="G164" s="216">
        <v>150</v>
      </c>
      <c r="H164" s="216" t="s">
        <v>374</v>
      </c>
      <c r="I164" s="267">
        <f t="shared" si="5"/>
        <v>50</v>
      </c>
      <c r="J164" s="216">
        <v>50</v>
      </c>
      <c r="K164" s="268">
        <f t="shared" si="8"/>
        <v>50</v>
      </c>
      <c r="L164" s="218">
        <f t="shared" si="6"/>
        <v>5000000</v>
      </c>
      <c r="M164" s="219">
        <f t="shared" si="9"/>
        <v>1.5004651441947003E-3</v>
      </c>
      <c r="N164" s="39" t="s">
        <v>374</v>
      </c>
    </row>
    <row r="165" spans="2:14" s="50" customFormat="1">
      <c r="B165" s="440"/>
      <c r="C165" s="440"/>
      <c r="D165" s="216" t="s">
        <v>519</v>
      </c>
      <c r="E165" s="216">
        <v>49</v>
      </c>
      <c r="F165" s="216">
        <v>1</v>
      </c>
      <c r="G165" s="216">
        <v>100</v>
      </c>
      <c r="H165" s="216" t="s">
        <v>374</v>
      </c>
      <c r="I165" s="267">
        <f t="shared" si="5"/>
        <v>100</v>
      </c>
      <c r="J165" s="216">
        <v>100</v>
      </c>
      <c r="K165" s="268">
        <f t="shared" si="8"/>
        <v>100</v>
      </c>
      <c r="L165" s="218">
        <f t="shared" si="6"/>
        <v>10000000</v>
      </c>
      <c r="M165" s="219">
        <f t="shared" si="9"/>
        <v>3.0009302883894006E-3</v>
      </c>
      <c r="N165" s="39" t="s">
        <v>374</v>
      </c>
    </row>
    <row r="166" spans="2:14" s="50" customFormat="1">
      <c r="B166" s="440"/>
      <c r="C166" s="440"/>
      <c r="D166" s="216" t="s">
        <v>516</v>
      </c>
      <c r="E166" s="216">
        <v>127</v>
      </c>
      <c r="F166" s="216">
        <v>245</v>
      </c>
      <c r="G166" s="216">
        <v>300</v>
      </c>
      <c r="H166" s="216" t="s">
        <v>374</v>
      </c>
      <c r="I166" s="267">
        <f t="shared" si="5"/>
        <v>56</v>
      </c>
      <c r="J166" s="216">
        <v>56</v>
      </c>
      <c r="K166" s="268">
        <f t="shared" si="8"/>
        <v>56</v>
      </c>
      <c r="L166" s="218">
        <f t="shared" si="6"/>
        <v>5600000</v>
      </c>
      <c r="M166" s="219">
        <f t="shared" si="9"/>
        <v>1.6805209614980643E-3</v>
      </c>
      <c r="N166" s="39" t="s">
        <v>374</v>
      </c>
    </row>
    <row r="167" spans="2:14" s="50" customFormat="1">
      <c r="B167" s="440"/>
      <c r="C167" s="440"/>
      <c r="D167" s="216" t="s">
        <v>521</v>
      </c>
      <c r="E167" s="216">
        <v>128</v>
      </c>
      <c r="F167" s="216">
        <v>1</v>
      </c>
      <c r="G167" s="216">
        <v>91</v>
      </c>
      <c r="H167" s="216" t="s">
        <v>374</v>
      </c>
      <c r="I167" s="267">
        <f t="shared" si="5"/>
        <v>91</v>
      </c>
      <c r="J167" s="216">
        <v>91</v>
      </c>
      <c r="K167" s="268">
        <f t="shared" si="8"/>
        <v>91</v>
      </c>
      <c r="L167" s="218">
        <f t="shared" si="6"/>
        <v>9100000</v>
      </c>
      <c r="M167" s="219">
        <f t="shared" si="9"/>
        <v>2.7308465624343546E-3</v>
      </c>
      <c r="N167" s="39" t="s">
        <v>374</v>
      </c>
    </row>
    <row r="168" spans="2:14" s="50" customFormat="1">
      <c r="B168" s="440"/>
      <c r="C168" s="440"/>
      <c r="D168" s="216" t="s">
        <v>566</v>
      </c>
      <c r="E168" s="216">
        <v>150</v>
      </c>
      <c r="F168" s="216">
        <v>217</v>
      </c>
      <c r="G168" s="216">
        <v>300</v>
      </c>
      <c r="H168" s="216" t="s">
        <v>374</v>
      </c>
      <c r="I168" s="267">
        <f t="shared" si="5"/>
        <v>84</v>
      </c>
      <c r="J168" s="216">
        <v>84</v>
      </c>
      <c r="K168" s="268">
        <f t="shared" si="8"/>
        <v>84</v>
      </c>
      <c r="L168" s="218">
        <f t="shared" si="6"/>
        <v>8400000</v>
      </c>
      <c r="M168" s="219">
        <f t="shared" si="9"/>
        <v>2.5207814422470967E-3</v>
      </c>
      <c r="N168" s="39" t="s">
        <v>374</v>
      </c>
    </row>
    <row r="169" spans="2:14" s="50" customFormat="1">
      <c r="B169" s="440"/>
      <c r="C169" s="440"/>
      <c r="D169" s="216" t="s">
        <v>578</v>
      </c>
      <c r="E169" s="216">
        <v>151</v>
      </c>
      <c r="F169" s="216">
        <v>1</v>
      </c>
      <c r="G169" s="216">
        <v>63</v>
      </c>
      <c r="H169" s="216" t="s">
        <v>374</v>
      </c>
      <c r="I169" s="267">
        <f t="shared" si="5"/>
        <v>63</v>
      </c>
      <c r="J169" s="216">
        <v>63</v>
      </c>
      <c r="K169" s="268">
        <f t="shared" si="8"/>
        <v>63</v>
      </c>
      <c r="L169" s="218">
        <f t="shared" si="6"/>
        <v>6300000</v>
      </c>
      <c r="M169" s="219">
        <f t="shared" si="9"/>
        <v>1.8905860816853224E-3</v>
      </c>
      <c r="N169" s="39" t="s">
        <v>374</v>
      </c>
    </row>
    <row r="170" spans="2:14" s="50" customFormat="1">
      <c r="B170" s="440"/>
      <c r="C170" s="440"/>
      <c r="D170" s="216" t="s">
        <v>579</v>
      </c>
      <c r="E170" s="216">
        <v>9</v>
      </c>
      <c r="F170" s="216">
        <v>139</v>
      </c>
      <c r="G170" s="216">
        <v>200</v>
      </c>
      <c r="H170" s="216" t="s">
        <v>374</v>
      </c>
      <c r="I170" s="267">
        <f t="shared" si="5"/>
        <v>62</v>
      </c>
      <c r="J170" s="216">
        <v>62</v>
      </c>
      <c r="K170" s="268">
        <f t="shared" si="8"/>
        <v>62</v>
      </c>
      <c r="L170" s="218">
        <f t="shared" si="6"/>
        <v>6200000</v>
      </c>
      <c r="M170" s="219">
        <f t="shared" si="9"/>
        <v>1.8605767788014284E-3</v>
      </c>
      <c r="N170" s="39" t="s">
        <v>374</v>
      </c>
    </row>
    <row r="171" spans="2:14" s="50" customFormat="1">
      <c r="B171" s="440"/>
      <c r="C171" s="440"/>
      <c r="D171" s="216" t="s">
        <v>580</v>
      </c>
      <c r="E171" s="216">
        <v>10</v>
      </c>
      <c r="F171" s="216">
        <v>1</v>
      </c>
      <c r="G171" s="216">
        <v>112</v>
      </c>
      <c r="H171" s="216" t="s">
        <v>374</v>
      </c>
      <c r="I171" s="267">
        <f t="shared" si="5"/>
        <v>112</v>
      </c>
      <c r="J171" s="216">
        <v>112</v>
      </c>
      <c r="K171" s="268">
        <f t="shared" si="8"/>
        <v>112</v>
      </c>
      <c r="L171" s="218">
        <f t="shared" si="6"/>
        <v>11200000</v>
      </c>
      <c r="M171" s="219">
        <f t="shared" si="9"/>
        <v>3.3610419229961287E-3</v>
      </c>
      <c r="N171" s="39" t="s">
        <v>374</v>
      </c>
    </row>
    <row r="172" spans="2:14">
      <c r="B172" s="440">
        <v>10</v>
      </c>
      <c r="C172" s="440" t="s">
        <v>581</v>
      </c>
      <c r="D172" s="216" t="s">
        <v>487</v>
      </c>
      <c r="E172" s="216">
        <v>22</v>
      </c>
      <c r="F172" s="216">
        <v>198</v>
      </c>
      <c r="G172" s="216">
        <v>198</v>
      </c>
      <c r="H172" s="216" t="s">
        <v>374</v>
      </c>
      <c r="I172" s="267">
        <f t="shared" si="5"/>
        <v>1</v>
      </c>
      <c r="J172" s="216">
        <v>1</v>
      </c>
      <c r="K172" s="268">
        <f t="shared" si="8"/>
        <v>1</v>
      </c>
      <c r="L172" s="218">
        <f t="shared" si="6"/>
        <v>100000</v>
      </c>
      <c r="M172" s="219">
        <f t="shared" si="9"/>
        <v>3.0009302883894008E-5</v>
      </c>
      <c r="N172" s="39" t="s">
        <v>374</v>
      </c>
    </row>
    <row r="173" spans="2:14" s="50" customFormat="1">
      <c r="B173" s="440"/>
      <c r="C173" s="440"/>
      <c r="D173" s="216" t="s">
        <v>487</v>
      </c>
      <c r="E173" s="216">
        <v>23</v>
      </c>
      <c r="F173" s="216">
        <v>199</v>
      </c>
      <c r="G173" s="216">
        <v>199</v>
      </c>
      <c r="H173" s="216" t="s">
        <v>374</v>
      </c>
      <c r="I173" s="267">
        <f t="shared" si="5"/>
        <v>1</v>
      </c>
      <c r="J173" s="216">
        <v>1</v>
      </c>
      <c r="K173" s="268">
        <f t="shared" si="8"/>
        <v>1</v>
      </c>
      <c r="L173" s="218">
        <f t="shared" si="6"/>
        <v>100000</v>
      </c>
      <c r="M173" s="219">
        <f t="shared" ref="M173:M236" si="10">+L173/$L$237</f>
        <v>3.0009302883894008E-5</v>
      </c>
      <c r="N173" s="39" t="s">
        <v>374</v>
      </c>
    </row>
    <row r="174" spans="2:14" s="50" customFormat="1">
      <c r="B174" s="440"/>
      <c r="C174" s="440"/>
      <c r="D174" s="216" t="s">
        <v>508</v>
      </c>
      <c r="E174" s="216">
        <v>78</v>
      </c>
      <c r="F174" s="216">
        <v>1</v>
      </c>
      <c r="G174" s="216">
        <v>1</v>
      </c>
      <c r="H174" s="216" t="s">
        <v>374</v>
      </c>
      <c r="I174" s="267">
        <f t="shared" si="5"/>
        <v>1</v>
      </c>
      <c r="J174" s="216">
        <v>1</v>
      </c>
      <c r="K174" s="268">
        <f t="shared" si="8"/>
        <v>1</v>
      </c>
      <c r="L174" s="218">
        <f t="shared" si="6"/>
        <v>100000</v>
      </c>
      <c r="M174" s="219">
        <f t="shared" si="10"/>
        <v>3.0009302883894008E-5</v>
      </c>
      <c r="N174" s="39" t="s">
        <v>374</v>
      </c>
    </row>
    <row r="175" spans="2:14" s="50" customFormat="1">
      <c r="B175" s="440"/>
      <c r="C175" s="440"/>
      <c r="D175" s="216" t="s">
        <v>520</v>
      </c>
      <c r="E175" s="216">
        <v>78</v>
      </c>
      <c r="F175" s="216">
        <v>192</v>
      </c>
      <c r="G175" s="216">
        <v>200</v>
      </c>
      <c r="H175" s="216" t="s">
        <v>374</v>
      </c>
      <c r="I175" s="267">
        <f t="shared" si="5"/>
        <v>9</v>
      </c>
      <c r="J175" s="216">
        <v>9</v>
      </c>
      <c r="K175" s="268">
        <f t="shared" si="8"/>
        <v>9</v>
      </c>
      <c r="L175" s="218">
        <f t="shared" si="6"/>
        <v>900000</v>
      </c>
      <c r="M175" s="219">
        <f t="shared" si="10"/>
        <v>2.7008372595504609E-4</v>
      </c>
      <c r="N175" s="39" t="s">
        <v>374</v>
      </c>
    </row>
    <row r="176" spans="2:14" s="50" customFormat="1">
      <c r="B176" s="440"/>
      <c r="C176" s="440"/>
      <c r="D176" s="216" t="s">
        <v>508</v>
      </c>
      <c r="E176" s="216">
        <v>79</v>
      </c>
      <c r="F176" s="216">
        <v>2</v>
      </c>
      <c r="G176" s="216">
        <v>11</v>
      </c>
      <c r="H176" s="216" t="s">
        <v>374</v>
      </c>
      <c r="I176" s="267">
        <f t="shared" si="5"/>
        <v>10</v>
      </c>
      <c r="J176" s="216">
        <v>10</v>
      </c>
      <c r="K176" s="268">
        <f t="shared" si="8"/>
        <v>10</v>
      </c>
      <c r="L176" s="218">
        <f t="shared" si="6"/>
        <v>1000000</v>
      </c>
      <c r="M176" s="219">
        <f t="shared" si="10"/>
        <v>3.0009302883894005E-4</v>
      </c>
      <c r="N176" s="39" t="s">
        <v>374</v>
      </c>
    </row>
    <row r="177" spans="2:14" s="50" customFormat="1">
      <c r="B177" s="440"/>
      <c r="C177" s="440"/>
      <c r="D177" s="216" t="s">
        <v>508</v>
      </c>
      <c r="E177" s="216">
        <v>80</v>
      </c>
      <c r="F177" s="216">
        <v>12</v>
      </c>
      <c r="G177" s="216">
        <v>21</v>
      </c>
      <c r="H177" s="216" t="s">
        <v>374</v>
      </c>
      <c r="I177" s="267">
        <f t="shared" si="5"/>
        <v>10</v>
      </c>
      <c r="J177" s="216">
        <v>10</v>
      </c>
      <c r="K177" s="268">
        <f t="shared" si="8"/>
        <v>10</v>
      </c>
      <c r="L177" s="218">
        <f t="shared" si="6"/>
        <v>1000000</v>
      </c>
      <c r="M177" s="219">
        <f t="shared" si="10"/>
        <v>3.0009302883894005E-4</v>
      </c>
      <c r="N177" s="39" t="s">
        <v>374</v>
      </c>
    </row>
    <row r="178" spans="2:14" s="50" customFormat="1">
      <c r="B178" s="440"/>
      <c r="C178" s="440"/>
      <c r="D178" s="216" t="s">
        <v>508</v>
      </c>
      <c r="E178" s="216">
        <v>81</v>
      </c>
      <c r="F178" s="216">
        <v>22</v>
      </c>
      <c r="G178" s="216">
        <v>71</v>
      </c>
      <c r="H178" s="216" t="s">
        <v>374</v>
      </c>
      <c r="I178" s="267">
        <f t="shared" si="5"/>
        <v>50</v>
      </c>
      <c r="J178" s="216">
        <v>50</v>
      </c>
      <c r="K178" s="268">
        <f t="shared" si="8"/>
        <v>50</v>
      </c>
      <c r="L178" s="218">
        <f t="shared" si="6"/>
        <v>5000000</v>
      </c>
      <c r="M178" s="219">
        <f t="shared" si="10"/>
        <v>1.5004651441947003E-3</v>
      </c>
      <c r="N178" s="39" t="s">
        <v>374</v>
      </c>
    </row>
    <row r="179" spans="2:14" s="50" customFormat="1">
      <c r="B179" s="440"/>
      <c r="C179" s="440"/>
      <c r="D179" s="216" t="s">
        <v>508</v>
      </c>
      <c r="E179" s="216">
        <v>82</v>
      </c>
      <c r="F179" s="216">
        <v>72</v>
      </c>
      <c r="G179" s="216">
        <v>72</v>
      </c>
      <c r="H179" s="216" t="s">
        <v>374</v>
      </c>
      <c r="I179" s="267">
        <f t="shared" si="5"/>
        <v>1</v>
      </c>
      <c r="J179" s="216">
        <v>1</v>
      </c>
      <c r="K179" s="268">
        <f t="shared" si="8"/>
        <v>1</v>
      </c>
      <c r="L179" s="218">
        <f t="shared" si="6"/>
        <v>100000</v>
      </c>
      <c r="M179" s="219">
        <f t="shared" si="10"/>
        <v>3.0009302883894008E-5</v>
      </c>
      <c r="N179" s="39" t="s">
        <v>374</v>
      </c>
    </row>
    <row r="180" spans="2:14" s="50" customFormat="1">
      <c r="B180" s="440"/>
      <c r="C180" s="440"/>
      <c r="D180" s="216" t="s">
        <v>508</v>
      </c>
      <c r="E180" s="216">
        <v>83</v>
      </c>
      <c r="F180" s="216">
        <v>73</v>
      </c>
      <c r="G180" s="216">
        <v>82</v>
      </c>
      <c r="H180" s="216" t="s">
        <v>374</v>
      </c>
      <c r="I180" s="267">
        <f t="shared" si="5"/>
        <v>10</v>
      </c>
      <c r="J180" s="216">
        <v>10</v>
      </c>
      <c r="K180" s="268">
        <f t="shared" si="8"/>
        <v>10</v>
      </c>
      <c r="L180" s="218">
        <f t="shared" si="6"/>
        <v>1000000</v>
      </c>
      <c r="M180" s="219">
        <f t="shared" si="10"/>
        <v>3.0009302883894005E-4</v>
      </c>
      <c r="N180" s="39" t="s">
        <v>374</v>
      </c>
    </row>
    <row r="181" spans="2:14" s="50" customFormat="1">
      <c r="B181" s="440"/>
      <c r="C181" s="440"/>
      <c r="D181" s="216" t="s">
        <v>508</v>
      </c>
      <c r="E181" s="216">
        <v>84</v>
      </c>
      <c r="F181" s="216">
        <v>83</v>
      </c>
      <c r="G181" s="216">
        <v>92</v>
      </c>
      <c r="H181" s="216" t="s">
        <v>374</v>
      </c>
      <c r="I181" s="267">
        <f t="shared" si="5"/>
        <v>10</v>
      </c>
      <c r="J181" s="216">
        <v>10</v>
      </c>
      <c r="K181" s="268">
        <f t="shared" si="8"/>
        <v>10</v>
      </c>
      <c r="L181" s="218">
        <f t="shared" si="6"/>
        <v>1000000</v>
      </c>
      <c r="M181" s="219">
        <f t="shared" si="10"/>
        <v>3.0009302883894005E-4</v>
      </c>
      <c r="N181" s="39" t="s">
        <v>374</v>
      </c>
    </row>
    <row r="182" spans="2:14" s="50" customFormat="1">
      <c r="B182" s="440"/>
      <c r="C182" s="440"/>
      <c r="D182" s="216" t="s">
        <v>508</v>
      </c>
      <c r="E182" s="216">
        <v>85</v>
      </c>
      <c r="F182" s="216">
        <v>93</v>
      </c>
      <c r="G182" s="216">
        <v>102</v>
      </c>
      <c r="H182" s="216" t="s">
        <v>374</v>
      </c>
      <c r="I182" s="267">
        <f t="shared" si="5"/>
        <v>10</v>
      </c>
      <c r="J182" s="216">
        <v>10</v>
      </c>
      <c r="K182" s="268">
        <f t="shared" si="8"/>
        <v>10</v>
      </c>
      <c r="L182" s="218">
        <f t="shared" si="6"/>
        <v>1000000</v>
      </c>
      <c r="M182" s="219">
        <f t="shared" si="10"/>
        <v>3.0009302883894005E-4</v>
      </c>
      <c r="N182" s="39" t="s">
        <v>374</v>
      </c>
    </row>
    <row r="183" spans="2:14" s="50" customFormat="1">
      <c r="B183" s="440"/>
      <c r="C183" s="440"/>
      <c r="D183" s="216" t="s">
        <v>508</v>
      </c>
      <c r="E183" s="216">
        <v>86</v>
      </c>
      <c r="F183" s="216">
        <v>103</v>
      </c>
      <c r="G183" s="216">
        <v>112</v>
      </c>
      <c r="H183" s="216" t="s">
        <v>374</v>
      </c>
      <c r="I183" s="267">
        <f t="shared" si="5"/>
        <v>10</v>
      </c>
      <c r="J183" s="216">
        <v>10</v>
      </c>
      <c r="K183" s="268">
        <f t="shared" si="8"/>
        <v>10</v>
      </c>
      <c r="L183" s="218">
        <f t="shared" si="6"/>
        <v>1000000</v>
      </c>
      <c r="M183" s="219">
        <f t="shared" si="10"/>
        <v>3.0009302883894005E-4</v>
      </c>
      <c r="N183" s="39" t="s">
        <v>374</v>
      </c>
    </row>
    <row r="184" spans="2:14" s="50" customFormat="1">
      <c r="B184" s="440"/>
      <c r="C184" s="440"/>
      <c r="D184" s="216" t="s">
        <v>508</v>
      </c>
      <c r="E184" s="216">
        <v>87</v>
      </c>
      <c r="F184" s="216">
        <v>113</v>
      </c>
      <c r="G184" s="216">
        <v>122</v>
      </c>
      <c r="H184" s="216" t="s">
        <v>374</v>
      </c>
      <c r="I184" s="267">
        <f t="shared" si="5"/>
        <v>10</v>
      </c>
      <c r="J184" s="216">
        <v>10</v>
      </c>
      <c r="K184" s="268">
        <f t="shared" si="8"/>
        <v>10</v>
      </c>
      <c r="L184" s="218">
        <f t="shared" si="6"/>
        <v>1000000</v>
      </c>
      <c r="M184" s="219">
        <f t="shared" si="10"/>
        <v>3.0009302883894005E-4</v>
      </c>
      <c r="N184" s="39" t="s">
        <v>374</v>
      </c>
    </row>
    <row r="185" spans="2:14" s="50" customFormat="1">
      <c r="B185" s="440"/>
      <c r="C185" s="440"/>
      <c r="D185" s="216" t="s">
        <v>508</v>
      </c>
      <c r="E185" s="216">
        <v>88</v>
      </c>
      <c r="F185" s="216">
        <v>123</v>
      </c>
      <c r="G185" s="216">
        <v>132</v>
      </c>
      <c r="H185" s="216" t="s">
        <v>374</v>
      </c>
      <c r="I185" s="267">
        <f t="shared" si="5"/>
        <v>10</v>
      </c>
      <c r="J185" s="216">
        <v>10</v>
      </c>
      <c r="K185" s="268">
        <f t="shared" si="8"/>
        <v>10</v>
      </c>
      <c r="L185" s="218">
        <f t="shared" si="6"/>
        <v>1000000</v>
      </c>
      <c r="M185" s="219">
        <f t="shared" si="10"/>
        <v>3.0009302883894005E-4</v>
      </c>
      <c r="N185" s="39" t="s">
        <v>374</v>
      </c>
    </row>
    <row r="186" spans="2:14" s="50" customFormat="1">
      <c r="B186" s="440"/>
      <c r="C186" s="440"/>
      <c r="D186" s="216" t="s">
        <v>522</v>
      </c>
      <c r="E186" s="216">
        <v>129</v>
      </c>
      <c r="F186" s="216">
        <v>92</v>
      </c>
      <c r="G186" s="216">
        <v>231</v>
      </c>
      <c r="H186" s="216" t="s">
        <v>374</v>
      </c>
      <c r="I186" s="267">
        <f t="shared" si="5"/>
        <v>140</v>
      </c>
      <c r="J186" s="216">
        <v>140</v>
      </c>
      <c r="K186" s="268">
        <f t="shared" si="8"/>
        <v>140</v>
      </c>
      <c r="L186" s="218">
        <f t="shared" si="6"/>
        <v>14000000</v>
      </c>
      <c r="M186" s="219">
        <f t="shared" si="10"/>
        <v>4.2013024037451611E-3</v>
      </c>
      <c r="N186" s="39" t="s">
        <v>374</v>
      </c>
    </row>
    <row r="187" spans="2:14" s="50" customFormat="1">
      <c r="B187" s="440"/>
      <c r="C187" s="440"/>
      <c r="D187" s="216" t="s">
        <v>578</v>
      </c>
      <c r="E187" s="216">
        <v>152</v>
      </c>
      <c r="F187" s="216">
        <v>64</v>
      </c>
      <c r="G187" s="216">
        <v>203</v>
      </c>
      <c r="H187" s="216" t="s">
        <v>374</v>
      </c>
      <c r="I187" s="267">
        <f t="shared" si="5"/>
        <v>140</v>
      </c>
      <c r="J187" s="216">
        <v>140</v>
      </c>
      <c r="K187" s="268">
        <f t="shared" si="8"/>
        <v>140</v>
      </c>
      <c r="L187" s="218">
        <f t="shared" si="6"/>
        <v>14000000</v>
      </c>
      <c r="M187" s="219">
        <f t="shared" si="10"/>
        <v>4.2013024037451611E-3</v>
      </c>
      <c r="N187" s="39" t="s">
        <v>374</v>
      </c>
    </row>
    <row r="188" spans="2:14" s="50" customFormat="1">
      <c r="B188" s="440"/>
      <c r="C188" s="440"/>
      <c r="D188" s="216" t="s">
        <v>574</v>
      </c>
      <c r="E188" s="216">
        <v>8</v>
      </c>
      <c r="F188" s="216">
        <v>173</v>
      </c>
      <c r="G188" s="216">
        <v>200</v>
      </c>
      <c r="H188" s="216" t="s">
        <v>374</v>
      </c>
      <c r="I188" s="267">
        <f t="shared" si="5"/>
        <v>28</v>
      </c>
      <c r="J188" s="216">
        <v>28</v>
      </c>
      <c r="K188" s="268">
        <f t="shared" si="8"/>
        <v>28</v>
      </c>
      <c r="L188" s="218">
        <f t="shared" si="6"/>
        <v>2800000</v>
      </c>
      <c r="M188" s="219">
        <f t="shared" si="10"/>
        <v>8.4026048074903217E-4</v>
      </c>
      <c r="N188" s="39" t="s">
        <v>374</v>
      </c>
    </row>
    <row r="189" spans="2:14" s="50" customFormat="1">
      <c r="B189" s="440"/>
      <c r="C189" s="440"/>
      <c r="D189" s="216" t="s">
        <v>579</v>
      </c>
      <c r="E189" s="216">
        <v>9</v>
      </c>
      <c r="F189" s="216">
        <v>1</v>
      </c>
      <c r="G189" s="216">
        <v>138</v>
      </c>
      <c r="H189" s="216" t="s">
        <v>374</v>
      </c>
      <c r="I189" s="267">
        <f t="shared" ref="I189:I197" si="11">IF(H189="Ordinaria",+J189,0)</f>
        <v>138</v>
      </c>
      <c r="J189" s="216">
        <v>138</v>
      </c>
      <c r="K189" s="268">
        <f t="shared" si="8"/>
        <v>138</v>
      </c>
      <c r="L189" s="218">
        <f t="shared" ref="L189:L222" si="12">J189*100000</f>
        <v>13800000</v>
      </c>
      <c r="M189" s="219">
        <f t="shared" si="10"/>
        <v>4.1412837979773734E-3</v>
      </c>
      <c r="N189" s="39" t="s">
        <v>374</v>
      </c>
    </row>
    <row r="190" spans="2:14" s="50" customFormat="1">
      <c r="B190" s="440">
        <v>11</v>
      </c>
      <c r="C190" s="440" t="s">
        <v>582</v>
      </c>
      <c r="D190" s="216" t="s">
        <v>490</v>
      </c>
      <c r="E190" s="216">
        <v>1</v>
      </c>
      <c r="F190" s="216">
        <v>1</v>
      </c>
      <c r="G190" s="216">
        <v>100</v>
      </c>
      <c r="H190" s="216" t="s">
        <v>374</v>
      </c>
      <c r="I190" s="267">
        <f t="shared" si="11"/>
        <v>100</v>
      </c>
      <c r="J190" s="216">
        <v>100</v>
      </c>
      <c r="K190" s="268">
        <f t="shared" ref="K190:K236" si="13">+I190</f>
        <v>100</v>
      </c>
      <c r="L190" s="218">
        <f t="shared" si="12"/>
        <v>10000000</v>
      </c>
      <c r="M190" s="219">
        <f t="shared" si="10"/>
        <v>3.0009302883894006E-3</v>
      </c>
      <c r="N190" s="39" t="s">
        <v>374</v>
      </c>
    </row>
    <row r="191" spans="2:14" s="50" customFormat="1">
      <c r="B191" s="440"/>
      <c r="C191" s="440"/>
      <c r="D191" s="216" t="s">
        <v>487</v>
      </c>
      <c r="E191" s="216">
        <v>9</v>
      </c>
      <c r="F191" s="216">
        <v>1</v>
      </c>
      <c r="G191" s="216">
        <v>50</v>
      </c>
      <c r="H191" s="216" t="s">
        <v>374</v>
      </c>
      <c r="I191" s="267">
        <f t="shared" si="11"/>
        <v>50</v>
      </c>
      <c r="J191" s="216">
        <v>50</v>
      </c>
      <c r="K191" s="268">
        <f t="shared" si="13"/>
        <v>50</v>
      </c>
      <c r="L191" s="218">
        <f t="shared" si="12"/>
        <v>5000000</v>
      </c>
      <c r="M191" s="219">
        <f t="shared" si="10"/>
        <v>1.5004651441947003E-3</v>
      </c>
      <c r="N191" s="39" t="s">
        <v>374</v>
      </c>
    </row>
    <row r="192" spans="2:14" s="50" customFormat="1">
      <c r="B192" s="440"/>
      <c r="C192" s="440"/>
      <c r="D192" s="216" t="s">
        <v>522</v>
      </c>
      <c r="E192" s="216">
        <v>130</v>
      </c>
      <c r="F192" s="216">
        <v>232</v>
      </c>
      <c r="G192" s="216">
        <v>300</v>
      </c>
      <c r="H192" s="216" t="s">
        <v>374</v>
      </c>
      <c r="I192" s="267">
        <f t="shared" si="11"/>
        <v>69</v>
      </c>
      <c r="J192" s="216">
        <v>69</v>
      </c>
      <c r="K192" s="268">
        <f t="shared" si="13"/>
        <v>69</v>
      </c>
      <c r="L192" s="218">
        <f t="shared" si="12"/>
        <v>6900000</v>
      </c>
      <c r="M192" s="219">
        <f t="shared" si="10"/>
        <v>2.0706418989886867E-3</v>
      </c>
      <c r="N192" s="39" t="s">
        <v>374</v>
      </c>
    </row>
    <row r="193" spans="2:14" s="50" customFormat="1">
      <c r="B193" s="440"/>
      <c r="C193" s="440"/>
      <c r="D193" s="216" t="s">
        <v>522</v>
      </c>
      <c r="E193" s="216">
        <v>131</v>
      </c>
      <c r="F193" s="216">
        <v>1</v>
      </c>
      <c r="G193" s="216">
        <v>78</v>
      </c>
      <c r="H193" s="216" t="s">
        <v>374</v>
      </c>
      <c r="I193" s="267">
        <f t="shared" si="11"/>
        <v>78</v>
      </c>
      <c r="J193" s="216">
        <v>78</v>
      </c>
      <c r="K193" s="268">
        <f t="shared" si="13"/>
        <v>78</v>
      </c>
      <c r="L193" s="218">
        <f t="shared" si="12"/>
        <v>7800000</v>
      </c>
      <c r="M193" s="219">
        <f t="shared" si="10"/>
        <v>2.3407256249437327E-3</v>
      </c>
      <c r="N193" s="39" t="s">
        <v>374</v>
      </c>
    </row>
    <row r="194" spans="2:14" s="50" customFormat="1">
      <c r="B194" s="440"/>
      <c r="C194" s="440"/>
      <c r="D194" s="216" t="s">
        <v>578</v>
      </c>
      <c r="E194" s="216">
        <v>153</v>
      </c>
      <c r="F194" s="216">
        <v>204</v>
      </c>
      <c r="G194" s="216">
        <v>300</v>
      </c>
      <c r="H194" s="216" t="s">
        <v>374</v>
      </c>
      <c r="I194" s="267">
        <f t="shared" si="11"/>
        <v>97</v>
      </c>
      <c r="J194" s="216">
        <v>97</v>
      </c>
      <c r="K194" s="268">
        <f t="shared" si="13"/>
        <v>97</v>
      </c>
      <c r="L194" s="218">
        <f t="shared" si="12"/>
        <v>9700000</v>
      </c>
      <c r="M194" s="219">
        <f t="shared" si="10"/>
        <v>2.9109023797377186E-3</v>
      </c>
      <c r="N194" s="39" t="s">
        <v>374</v>
      </c>
    </row>
    <row r="195" spans="2:14" s="50" customFormat="1">
      <c r="B195" s="440"/>
      <c r="C195" s="440"/>
      <c r="D195" s="216" t="s">
        <v>568</v>
      </c>
      <c r="E195" s="216">
        <v>154</v>
      </c>
      <c r="F195" s="216">
        <v>1</v>
      </c>
      <c r="G195" s="216">
        <v>50</v>
      </c>
      <c r="H195" s="216" t="s">
        <v>374</v>
      </c>
      <c r="I195" s="267">
        <f t="shared" si="11"/>
        <v>50</v>
      </c>
      <c r="J195" s="216">
        <v>50</v>
      </c>
      <c r="K195" s="268">
        <f t="shared" si="13"/>
        <v>50</v>
      </c>
      <c r="L195" s="218">
        <f t="shared" si="12"/>
        <v>5000000</v>
      </c>
      <c r="M195" s="219">
        <f t="shared" si="10"/>
        <v>1.5004651441947003E-3</v>
      </c>
      <c r="N195" s="39" t="s">
        <v>374</v>
      </c>
    </row>
    <row r="196" spans="2:14" s="50" customFormat="1">
      <c r="B196" s="440"/>
      <c r="C196" s="440"/>
      <c r="D196" s="216" t="s">
        <v>580</v>
      </c>
      <c r="E196" s="216">
        <v>11</v>
      </c>
      <c r="F196" s="216">
        <v>113</v>
      </c>
      <c r="G196" s="216">
        <v>200</v>
      </c>
      <c r="H196" s="216" t="s">
        <v>374</v>
      </c>
      <c r="I196" s="267">
        <f t="shared" si="11"/>
        <v>88</v>
      </c>
      <c r="J196" s="216">
        <v>88</v>
      </c>
      <c r="K196" s="268">
        <f t="shared" si="13"/>
        <v>88</v>
      </c>
      <c r="L196" s="218">
        <f t="shared" si="12"/>
        <v>8800000</v>
      </c>
      <c r="M196" s="219">
        <f t="shared" si="10"/>
        <v>2.6408186537826726E-3</v>
      </c>
      <c r="N196" s="39" t="s">
        <v>374</v>
      </c>
    </row>
    <row r="197" spans="2:14" s="50" customFormat="1">
      <c r="B197" s="440"/>
      <c r="C197" s="440"/>
      <c r="D197" s="216" t="s">
        <v>502</v>
      </c>
      <c r="E197" s="216">
        <v>12</v>
      </c>
      <c r="F197" s="216">
        <v>1</v>
      </c>
      <c r="G197" s="216">
        <v>112</v>
      </c>
      <c r="H197" s="216" t="s">
        <v>374</v>
      </c>
      <c r="I197" s="267">
        <f t="shared" si="11"/>
        <v>112</v>
      </c>
      <c r="J197" s="216">
        <v>112</v>
      </c>
      <c r="K197" s="268">
        <f t="shared" si="13"/>
        <v>112</v>
      </c>
      <c r="L197" s="218">
        <f t="shared" si="12"/>
        <v>11200000</v>
      </c>
      <c r="M197" s="219">
        <f t="shared" si="10"/>
        <v>3.3610419229961287E-3</v>
      </c>
      <c r="N197" s="39" t="s">
        <v>374</v>
      </c>
    </row>
    <row r="198" spans="2:14" s="50" customFormat="1">
      <c r="B198" s="440">
        <v>12</v>
      </c>
      <c r="C198" s="440" t="s">
        <v>583</v>
      </c>
      <c r="D198" s="216" t="s">
        <v>514</v>
      </c>
      <c r="E198" s="216">
        <v>1</v>
      </c>
      <c r="F198" s="216">
        <v>1</v>
      </c>
      <c r="G198" s="216">
        <v>425</v>
      </c>
      <c r="H198" s="216" t="s">
        <v>374</v>
      </c>
      <c r="I198" s="267">
        <f>IF(H198="Ordinaria",+J198,0)</f>
        <v>425</v>
      </c>
      <c r="J198" s="216">
        <v>425</v>
      </c>
      <c r="K198" s="268">
        <f t="shared" si="13"/>
        <v>425</v>
      </c>
      <c r="L198" s="218">
        <f t="shared" si="12"/>
        <v>42500000</v>
      </c>
      <c r="M198" s="219">
        <f t="shared" si="10"/>
        <v>1.2753953725654953E-2</v>
      </c>
      <c r="N198" s="39" t="s">
        <v>374</v>
      </c>
    </row>
    <row r="199" spans="2:14" s="50" customFormat="1">
      <c r="B199" s="440"/>
      <c r="C199" s="440"/>
      <c r="D199" s="216" t="s">
        <v>533</v>
      </c>
      <c r="E199" s="216">
        <v>183</v>
      </c>
      <c r="F199" s="216">
        <v>102</v>
      </c>
      <c r="G199" s="216">
        <v>300</v>
      </c>
      <c r="H199" s="216" t="s">
        <v>374</v>
      </c>
      <c r="I199" s="267">
        <f t="shared" ref="I199:I236" si="14">IF(H199="Ordinaria",+J199,0)</f>
        <v>199</v>
      </c>
      <c r="J199" s="216">
        <v>199</v>
      </c>
      <c r="K199" s="268">
        <f t="shared" si="13"/>
        <v>199</v>
      </c>
      <c r="L199" s="218">
        <f t="shared" si="12"/>
        <v>19900000</v>
      </c>
      <c r="M199" s="219">
        <f t="shared" si="10"/>
        <v>5.971851273894907E-3</v>
      </c>
      <c r="N199" s="39" t="s">
        <v>374</v>
      </c>
    </row>
    <row r="200" spans="2:14" s="50" customFormat="1">
      <c r="B200" s="440"/>
      <c r="C200" s="440"/>
      <c r="D200" s="216" t="s">
        <v>531</v>
      </c>
      <c r="E200" s="216">
        <v>184</v>
      </c>
      <c r="F200" s="216">
        <v>1</v>
      </c>
      <c r="G200" s="216">
        <v>300</v>
      </c>
      <c r="H200" s="216" t="s">
        <v>374</v>
      </c>
      <c r="I200" s="267">
        <f t="shared" si="14"/>
        <v>300</v>
      </c>
      <c r="J200" s="216">
        <v>300</v>
      </c>
      <c r="K200" s="268">
        <f t="shared" si="13"/>
        <v>300</v>
      </c>
      <c r="L200" s="218">
        <f t="shared" si="12"/>
        <v>30000000</v>
      </c>
      <c r="M200" s="219">
        <f t="shared" si="10"/>
        <v>9.0027908651682028E-3</v>
      </c>
      <c r="N200" s="39" t="s">
        <v>374</v>
      </c>
    </row>
    <row r="201" spans="2:14" s="50" customFormat="1">
      <c r="B201" s="440"/>
      <c r="C201" s="440"/>
      <c r="D201" s="216" t="s">
        <v>584</v>
      </c>
      <c r="E201" s="216">
        <v>185</v>
      </c>
      <c r="F201" s="216">
        <v>1</v>
      </c>
      <c r="G201" s="216">
        <v>300</v>
      </c>
      <c r="H201" s="216" t="s">
        <v>374</v>
      </c>
      <c r="I201" s="267">
        <f t="shared" si="14"/>
        <v>300</v>
      </c>
      <c r="J201" s="216">
        <v>300</v>
      </c>
      <c r="K201" s="268">
        <f t="shared" si="13"/>
        <v>300</v>
      </c>
      <c r="L201" s="218">
        <f t="shared" si="12"/>
        <v>30000000</v>
      </c>
      <c r="M201" s="219">
        <f t="shared" si="10"/>
        <v>9.0027908651682028E-3</v>
      </c>
      <c r="N201" s="39" t="s">
        <v>374</v>
      </c>
    </row>
    <row r="202" spans="2:14" s="50" customFormat="1">
      <c r="B202" s="440"/>
      <c r="C202" s="440"/>
      <c r="D202" s="216" t="s">
        <v>585</v>
      </c>
      <c r="E202" s="216">
        <v>186</v>
      </c>
      <c r="F202" s="216">
        <v>1</v>
      </c>
      <c r="G202" s="216">
        <v>300</v>
      </c>
      <c r="H202" s="216" t="s">
        <v>374</v>
      </c>
      <c r="I202" s="267">
        <f t="shared" si="14"/>
        <v>300</v>
      </c>
      <c r="J202" s="216">
        <v>300</v>
      </c>
      <c r="K202" s="268">
        <f t="shared" si="13"/>
        <v>300</v>
      </c>
      <c r="L202" s="218">
        <f t="shared" si="12"/>
        <v>30000000</v>
      </c>
      <c r="M202" s="219">
        <f t="shared" si="10"/>
        <v>9.0027908651682028E-3</v>
      </c>
      <c r="N202" s="39" t="s">
        <v>374</v>
      </c>
    </row>
    <row r="203" spans="2:14" s="50" customFormat="1">
      <c r="B203" s="440"/>
      <c r="C203" s="440"/>
      <c r="D203" s="216" t="s">
        <v>586</v>
      </c>
      <c r="E203" s="216">
        <v>187</v>
      </c>
      <c r="F203" s="216">
        <v>1</v>
      </c>
      <c r="G203" s="216">
        <v>300</v>
      </c>
      <c r="H203" s="216" t="s">
        <v>374</v>
      </c>
      <c r="I203" s="267">
        <f t="shared" si="14"/>
        <v>300</v>
      </c>
      <c r="J203" s="216">
        <v>300</v>
      </c>
      <c r="K203" s="268">
        <f t="shared" si="13"/>
        <v>300</v>
      </c>
      <c r="L203" s="218">
        <f t="shared" si="12"/>
        <v>30000000</v>
      </c>
      <c r="M203" s="219">
        <f t="shared" si="10"/>
        <v>9.0027908651682028E-3</v>
      </c>
      <c r="N203" s="39" t="s">
        <v>374</v>
      </c>
    </row>
    <row r="204" spans="2:14" s="50" customFormat="1">
      <c r="B204" s="440"/>
      <c r="C204" s="440"/>
      <c r="D204" s="216" t="s">
        <v>587</v>
      </c>
      <c r="E204" s="216">
        <v>188</v>
      </c>
      <c r="F204" s="216">
        <v>1</v>
      </c>
      <c r="G204" s="216">
        <v>300</v>
      </c>
      <c r="H204" s="216" t="s">
        <v>374</v>
      </c>
      <c r="I204" s="267">
        <f t="shared" si="14"/>
        <v>300</v>
      </c>
      <c r="J204" s="216">
        <v>300</v>
      </c>
      <c r="K204" s="268">
        <f t="shared" si="13"/>
        <v>300</v>
      </c>
      <c r="L204" s="218">
        <f t="shared" si="12"/>
        <v>30000000</v>
      </c>
      <c r="M204" s="219">
        <f t="shared" si="10"/>
        <v>9.0027908651682028E-3</v>
      </c>
      <c r="N204" s="39" t="s">
        <v>374</v>
      </c>
    </row>
    <row r="205" spans="2:14" s="50" customFormat="1">
      <c r="B205" s="440"/>
      <c r="C205" s="440"/>
      <c r="D205" s="216" t="s">
        <v>588</v>
      </c>
      <c r="E205" s="216">
        <v>189</v>
      </c>
      <c r="F205" s="216">
        <v>1</v>
      </c>
      <c r="G205" s="216">
        <v>300</v>
      </c>
      <c r="H205" s="216" t="s">
        <v>374</v>
      </c>
      <c r="I205" s="267">
        <f t="shared" si="14"/>
        <v>300</v>
      </c>
      <c r="J205" s="216">
        <v>300</v>
      </c>
      <c r="K205" s="268">
        <f t="shared" si="13"/>
        <v>300</v>
      </c>
      <c r="L205" s="218">
        <f t="shared" si="12"/>
        <v>30000000</v>
      </c>
      <c r="M205" s="219">
        <f t="shared" si="10"/>
        <v>9.0027908651682028E-3</v>
      </c>
      <c r="N205" s="39" t="s">
        <v>374</v>
      </c>
    </row>
    <row r="206" spans="2:14" s="50" customFormat="1">
      <c r="B206" s="440"/>
      <c r="C206" s="440"/>
      <c r="D206" s="216" t="s">
        <v>589</v>
      </c>
      <c r="E206" s="216">
        <v>190</v>
      </c>
      <c r="F206" s="216">
        <v>1</v>
      </c>
      <c r="G206" s="216">
        <v>300</v>
      </c>
      <c r="H206" s="216" t="s">
        <v>374</v>
      </c>
      <c r="I206" s="267">
        <f t="shared" si="14"/>
        <v>300</v>
      </c>
      <c r="J206" s="216">
        <v>300</v>
      </c>
      <c r="K206" s="268">
        <f t="shared" si="13"/>
        <v>300</v>
      </c>
      <c r="L206" s="218">
        <f t="shared" si="12"/>
        <v>30000000</v>
      </c>
      <c r="M206" s="219">
        <f t="shared" si="10"/>
        <v>9.0027908651682028E-3</v>
      </c>
      <c r="N206" s="39" t="s">
        <v>374</v>
      </c>
    </row>
    <row r="207" spans="2:14" s="50" customFormat="1">
      <c r="B207" s="440"/>
      <c r="C207" s="440"/>
      <c r="D207" s="216" t="s">
        <v>590</v>
      </c>
      <c r="E207" s="216">
        <v>191</v>
      </c>
      <c r="F207" s="216">
        <v>1</v>
      </c>
      <c r="G207" s="216">
        <v>300</v>
      </c>
      <c r="H207" s="216" t="s">
        <v>374</v>
      </c>
      <c r="I207" s="267">
        <f t="shared" si="14"/>
        <v>300</v>
      </c>
      <c r="J207" s="216">
        <v>300</v>
      </c>
      <c r="K207" s="268">
        <f t="shared" si="13"/>
        <v>300</v>
      </c>
      <c r="L207" s="218">
        <f t="shared" si="12"/>
        <v>30000000</v>
      </c>
      <c r="M207" s="219">
        <f t="shared" si="10"/>
        <v>9.0027908651682028E-3</v>
      </c>
      <c r="N207" s="39" t="s">
        <v>374</v>
      </c>
    </row>
    <row r="208" spans="2:14" s="50" customFormat="1">
      <c r="B208" s="440"/>
      <c r="C208" s="440"/>
      <c r="D208" s="216" t="s">
        <v>591</v>
      </c>
      <c r="E208" s="216">
        <v>192</v>
      </c>
      <c r="F208" s="216">
        <v>1</v>
      </c>
      <c r="G208" s="216">
        <v>300</v>
      </c>
      <c r="H208" s="216" t="s">
        <v>374</v>
      </c>
      <c r="I208" s="267">
        <f t="shared" si="14"/>
        <v>300</v>
      </c>
      <c r="J208" s="216">
        <v>300</v>
      </c>
      <c r="K208" s="268">
        <f t="shared" si="13"/>
        <v>300</v>
      </c>
      <c r="L208" s="218">
        <f t="shared" si="12"/>
        <v>30000000</v>
      </c>
      <c r="M208" s="219">
        <f t="shared" si="10"/>
        <v>9.0027908651682028E-3</v>
      </c>
      <c r="N208" s="39" t="s">
        <v>374</v>
      </c>
    </row>
    <row r="209" spans="2:14" s="50" customFormat="1">
      <c r="B209" s="440"/>
      <c r="C209" s="440"/>
      <c r="D209" s="216" t="s">
        <v>592</v>
      </c>
      <c r="E209" s="216">
        <v>193</v>
      </c>
      <c r="F209" s="216">
        <v>1</v>
      </c>
      <c r="G209" s="216">
        <v>300</v>
      </c>
      <c r="H209" s="216" t="s">
        <v>374</v>
      </c>
      <c r="I209" s="267">
        <f t="shared" si="14"/>
        <v>300</v>
      </c>
      <c r="J209" s="216">
        <v>300</v>
      </c>
      <c r="K209" s="268">
        <f t="shared" si="13"/>
        <v>300</v>
      </c>
      <c r="L209" s="218">
        <f t="shared" si="12"/>
        <v>30000000</v>
      </c>
      <c r="M209" s="219">
        <f t="shared" si="10"/>
        <v>9.0027908651682028E-3</v>
      </c>
      <c r="N209" s="39" t="s">
        <v>374</v>
      </c>
    </row>
    <row r="210" spans="2:14" s="50" customFormat="1">
      <c r="B210" s="440"/>
      <c r="C210" s="440"/>
      <c r="D210" s="216" t="s">
        <v>593</v>
      </c>
      <c r="E210" s="216">
        <v>194</v>
      </c>
      <c r="F210" s="216">
        <v>1</v>
      </c>
      <c r="G210" s="216">
        <v>300</v>
      </c>
      <c r="H210" s="216" t="s">
        <v>374</v>
      </c>
      <c r="I210" s="267">
        <f t="shared" si="14"/>
        <v>300</v>
      </c>
      <c r="J210" s="216">
        <v>300</v>
      </c>
      <c r="K210" s="268">
        <f t="shared" si="13"/>
        <v>300</v>
      </c>
      <c r="L210" s="218">
        <f t="shared" si="12"/>
        <v>30000000</v>
      </c>
      <c r="M210" s="219">
        <f t="shared" si="10"/>
        <v>9.0027908651682028E-3</v>
      </c>
      <c r="N210" s="39" t="s">
        <v>374</v>
      </c>
    </row>
    <row r="211" spans="2:14" s="50" customFormat="1">
      <c r="B211" s="440"/>
      <c r="C211" s="440"/>
      <c r="D211" s="216" t="s">
        <v>594</v>
      </c>
      <c r="E211" s="216">
        <v>195</v>
      </c>
      <c r="F211" s="216">
        <v>1</v>
      </c>
      <c r="G211" s="216">
        <v>300</v>
      </c>
      <c r="H211" s="216" t="s">
        <v>374</v>
      </c>
      <c r="I211" s="267">
        <f t="shared" si="14"/>
        <v>300</v>
      </c>
      <c r="J211" s="216">
        <v>300</v>
      </c>
      <c r="K211" s="268">
        <f t="shared" si="13"/>
        <v>300</v>
      </c>
      <c r="L211" s="218">
        <f t="shared" si="12"/>
        <v>30000000</v>
      </c>
      <c r="M211" s="219">
        <f t="shared" si="10"/>
        <v>9.0027908651682028E-3</v>
      </c>
      <c r="N211" s="39" t="s">
        <v>374</v>
      </c>
    </row>
    <row r="212" spans="2:14" s="50" customFormat="1">
      <c r="B212" s="440"/>
      <c r="C212" s="440"/>
      <c r="D212" s="216" t="s">
        <v>595</v>
      </c>
      <c r="E212" s="216">
        <v>196</v>
      </c>
      <c r="F212" s="216">
        <v>1</v>
      </c>
      <c r="G212" s="216">
        <v>300</v>
      </c>
      <c r="H212" s="216" t="s">
        <v>374</v>
      </c>
      <c r="I212" s="267">
        <f t="shared" si="14"/>
        <v>300</v>
      </c>
      <c r="J212" s="216">
        <v>300</v>
      </c>
      <c r="K212" s="268">
        <f t="shared" si="13"/>
        <v>300</v>
      </c>
      <c r="L212" s="218">
        <f t="shared" si="12"/>
        <v>30000000</v>
      </c>
      <c r="M212" s="219">
        <f t="shared" si="10"/>
        <v>9.0027908651682028E-3</v>
      </c>
      <c r="N212" s="39" t="s">
        <v>374</v>
      </c>
    </row>
    <row r="213" spans="2:14" s="50" customFormat="1">
      <c r="B213" s="440"/>
      <c r="C213" s="440"/>
      <c r="D213" s="216" t="s">
        <v>596</v>
      </c>
      <c r="E213" s="216">
        <v>197</v>
      </c>
      <c r="F213" s="216">
        <v>1</v>
      </c>
      <c r="G213" s="216">
        <v>300</v>
      </c>
      <c r="H213" s="216" t="s">
        <v>374</v>
      </c>
      <c r="I213" s="267">
        <f t="shared" si="14"/>
        <v>300</v>
      </c>
      <c r="J213" s="216">
        <v>300</v>
      </c>
      <c r="K213" s="268">
        <f t="shared" si="13"/>
        <v>300</v>
      </c>
      <c r="L213" s="218">
        <f t="shared" si="12"/>
        <v>30000000</v>
      </c>
      <c r="M213" s="219">
        <f t="shared" si="10"/>
        <v>9.0027908651682028E-3</v>
      </c>
      <c r="N213" s="39" t="s">
        <v>374</v>
      </c>
    </row>
    <row r="214" spans="2:14" s="50" customFormat="1">
      <c r="B214" s="440"/>
      <c r="C214" s="440"/>
      <c r="D214" s="216" t="s">
        <v>597</v>
      </c>
      <c r="E214" s="216">
        <v>198</v>
      </c>
      <c r="F214" s="216">
        <v>1</v>
      </c>
      <c r="G214" s="216">
        <v>300</v>
      </c>
      <c r="H214" s="216" t="s">
        <v>374</v>
      </c>
      <c r="I214" s="267">
        <f t="shared" si="14"/>
        <v>300</v>
      </c>
      <c r="J214" s="216">
        <v>300</v>
      </c>
      <c r="K214" s="268">
        <f t="shared" si="13"/>
        <v>300</v>
      </c>
      <c r="L214" s="218">
        <f t="shared" si="12"/>
        <v>30000000</v>
      </c>
      <c r="M214" s="219">
        <f t="shared" si="10"/>
        <v>9.0027908651682028E-3</v>
      </c>
      <c r="N214" s="39" t="s">
        <v>374</v>
      </c>
    </row>
    <row r="215" spans="2:14" s="50" customFormat="1">
      <c r="B215" s="440"/>
      <c r="C215" s="440"/>
      <c r="D215" s="216" t="s">
        <v>598</v>
      </c>
      <c r="E215" s="216">
        <v>199</v>
      </c>
      <c r="F215" s="216">
        <v>1</v>
      </c>
      <c r="G215" s="216">
        <v>300</v>
      </c>
      <c r="H215" s="216" t="s">
        <v>374</v>
      </c>
      <c r="I215" s="267">
        <f t="shared" si="14"/>
        <v>300</v>
      </c>
      <c r="J215" s="216">
        <v>300</v>
      </c>
      <c r="K215" s="268">
        <f t="shared" si="13"/>
        <v>300</v>
      </c>
      <c r="L215" s="218">
        <f t="shared" si="12"/>
        <v>30000000</v>
      </c>
      <c r="M215" s="219">
        <f t="shared" si="10"/>
        <v>9.0027908651682028E-3</v>
      </c>
      <c r="N215" s="39" t="s">
        <v>374</v>
      </c>
    </row>
    <row r="216" spans="2:14" s="50" customFormat="1">
      <c r="B216" s="440"/>
      <c r="C216" s="440"/>
      <c r="D216" s="216" t="s">
        <v>570</v>
      </c>
      <c r="E216" s="216">
        <v>200</v>
      </c>
      <c r="F216" s="216">
        <v>1</v>
      </c>
      <c r="G216" s="216">
        <v>100</v>
      </c>
      <c r="H216" s="216" t="s">
        <v>374</v>
      </c>
      <c r="I216" s="267">
        <f t="shared" si="14"/>
        <v>201</v>
      </c>
      <c r="J216" s="216">
        <v>201</v>
      </c>
      <c r="K216" s="268">
        <f t="shared" si="13"/>
        <v>201</v>
      </c>
      <c r="L216" s="218">
        <f t="shared" si="12"/>
        <v>20100000</v>
      </c>
      <c r="M216" s="219">
        <f t="shared" si="10"/>
        <v>6.0318698796626956E-3</v>
      </c>
      <c r="N216" s="39" t="s">
        <v>374</v>
      </c>
    </row>
    <row r="217" spans="2:14" s="50" customFormat="1">
      <c r="B217" s="440"/>
      <c r="C217" s="440"/>
      <c r="D217" s="216" t="s">
        <v>508</v>
      </c>
      <c r="E217" s="216" t="s">
        <v>487</v>
      </c>
      <c r="F217" s="216">
        <v>133</v>
      </c>
      <c r="G217" s="216">
        <v>137</v>
      </c>
      <c r="H217" s="216" t="s">
        <v>374</v>
      </c>
      <c r="I217" s="267">
        <f t="shared" si="14"/>
        <v>5</v>
      </c>
      <c r="J217" s="216">
        <v>5</v>
      </c>
      <c r="K217" s="268">
        <f t="shared" si="13"/>
        <v>5</v>
      </c>
      <c r="L217" s="218">
        <f t="shared" si="12"/>
        <v>500000</v>
      </c>
      <c r="M217" s="219">
        <f t="shared" si="10"/>
        <v>1.5004651441947003E-4</v>
      </c>
      <c r="N217" s="39" t="s">
        <v>374</v>
      </c>
    </row>
    <row r="218" spans="2:14" s="50" customFormat="1">
      <c r="B218" s="440"/>
      <c r="C218" s="440"/>
      <c r="D218" s="216" t="s">
        <v>513</v>
      </c>
      <c r="E218" s="216" t="s">
        <v>487</v>
      </c>
      <c r="F218" s="216">
        <v>1</v>
      </c>
      <c r="G218" s="216">
        <v>300</v>
      </c>
      <c r="H218" s="216" t="s">
        <v>374</v>
      </c>
      <c r="I218" s="267">
        <f t="shared" si="14"/>
        <v>200</v>
      </c>
      <c r="J218" s="216">
        <v>200</v>
      </c>
      <c r="K218" s="268">
        <f t="shared" si="13"/>
        <v>200</v>
      </c>
      <c r="L218" s="218">
        <f t="shared" si="12"/>
        <v>20000000</v>
      </c>
      <c r="M218" s="219">
        <f t="shared" si="10"/>
        <v>6.0018605767788013E-3</v>
      </c>
      <c r="N218" s="39" t="s">
        <v>374</v>
      </c>
    </row>
    <row r="219" spans="2:14" s="50" customFormat="1">
      <c r="B219" s="440"/>
      <c r="C219" s="440"/>
      <c r="D219" s="216" t="s">
        <v>518</v>
      </c>
      <c r="E219" s="216" t="s">
        <v>487</v>
      </c>
      <c r="F219" s="216">
        <v>1</v>
      </c>
      <c r="G219" s="216">
        <v>300</v>
      </c>
      <c r="H219" s="216" t="s">
        <v>374</v>
      </c>
      <c r="I219" s="267">
        <f t="shared" si="14"/>
        <v>200</v>
      </c>
      <c r="J219" s="216">
        <v>200</v>
      </c>
      <c r="K219" s="268">
        <f t="shared" si="13"/>
        <v>200</v>
      </c>
      <c r="L219" s="218">
        <f t="shared" si="12"/>
        <v>20000000</v>
      </c>
      <c r="M219" s="219">
        <f t="shared" si="10"/>
        <v>6.0018605767788013E-3</v>
      </c>
      <c r="N219" s="39" t="s">
        <v>374</v>
      </c>
    </row>
    <row r="220" spans="2:14" s="50" customFormat="1">
      <c r="B220" s="440"/>
      <c r="C220" s="440"/>
      <c r="D220" s="216" t="s">
        <v>494</v>
      </c>
      <c r="E220" s="216" t="s">
        <v>487</v>
      </c>
      <c r="F220" s="216">
        <v>1</v>
      </c>
      <c r="G220" s="216">
        <v>300</v>
      </c>
      <c r="H220" s="216" t="s">
        <v>374</v>
      </c>
      <c r="I220" s="267">
        <f t="shared" si="14"/>
        <v>102</v>
      </c>
      <c r="J220" s="216">
        <v>102</v>
      </c>
      <c r="K220" s="268">
        <f t="shared" si="13"/>
        <v>102</v>
      </c>
      <c r="L220" s="218">
        <f t="shared" si="12"/>
        <v>10200000</v>
      </c>
      <c r="M220" s="219">
        <f t="shared" si="10"/>
        <v>3.0609488941571888E-3</v>
      </c>
      <c r="N220" s="39" t="s">
        <v>374</v>
      </c>
    </row>
    <row r="221" spans="2:14" s="50" customFormat="1">
      <c r="B221" s="440"/>
      <c r="C221" s="440"/>
      <c r="D221" s="216" t="s">
        <v>527</v>
      </c>
      <c r="E221" s="216" t="s">
        <v>487</v>
      </c>
      <c r="F221" s="216">
        <v>1</v>
      </c>
      <c r="G221" s="216">
        <v>63</v>
      </c>
      <c r="H221" s="216" t="s">
        <v>374</v>
      </c>
      <c r="I221" s="267">
        <f t="shared" si="14"/>
        <v>200</v>
      </c>
      <c r="J221" s="216">
        <v>200</v>
      </c>
      <c r="K221" s="268">
        <f t="shared" si="13"/>
        <v>200</v>
      </c>
      <c r="L221" s="218">
        <f t="shared" si="12"/>
        <v>20000000</v>
      </c>
      <c r="M221" s="219">
        <f t="shared" si="10"/>
        <v>6.0018605767788013E-3</v>
      </c>
      <c r="N221" s="39" t="s">
        <v>374</v>
      </c>
    </row>
    <row r="222" spans="2:14" s="50" customFormat="1">
      <c r="B222" s="440"/>
      <c r="C222" s="440"/>
      <c r="D222" s="370" t="s">
        <v>490</v>
      </c>
      <c r="E222" s="370" t="s">
        <v>487</v>
      </c>
      <c r="F222" s="370" t="s">
        <v>137</v>
      </c>
      <c r="G222" s="370" t="s">
        <v>137</v>
      </c>
      <c r="H222" s="370" t="s">
        <v>608</v>
      </c>
      <c r="I222" s="267">
        <f t="shared" si="14"/>
        <v>0</v>
      </c>
      <c r="J222" s="269">
        <v>1830</v>
      </c>
      <c r="K222" s="268">
        <f t="shared" si="13"/>
        <v>0</v>
      </c>
      <c r="L222" s="218">
        <f t="shared" si="12"/>
        <v>183000000</v>
      </c>
      <c r="M222" s="219">
        <f t="shared" si="10"/>
        <v>5.4917024277526032E-2</v>
      </c>
      <c r="N222" s="39" t="s">
        <v>608</v>
      </c>
    </row>
    <row r="223" spans="2:14" s="50" customFormat="1">
      <c r="B223" s="440">
        <v>13</v>
      </c>
      <c r="C223" s="440" t="s">
        <v>599</v>
      </c>
      <c r="D223" s="370" t="s">
        <v>600</v>
      </c>
      <c r="E223" s="370">
        <v>169</v>
      </c>
      <c r="F223" s="370">
        <v>102</v>
      </c>
      <c r="G223" s="370">
        <v>300</v>
      </c>
      <c r="H223" s="370" t="s">
        <v>374</v>
      </c>
      <c r="I223" s="267">
        <f t="shared" si="14"/>
        <v>199</v>
      </c>
      <c r="J223" s="216">
        <v>199</v>
      </c>
      <c r="K223" s="268">
        <f t="shared" si="13"/>
        <v>199</v>
      </c>
      <c r="L223" s="218">
        <f t="shared" ref="L223:L227" si="15">J223*100000</f>
        <v>19900000</v>
      </c>
      <c r="M223" s="219">
        <f t="shared" si="10"/>
        <v>5.971851273894907E-3</v>
      </c>
      <c r="N223" s="39" t="s">
        <v>374</v>
      </c>
    </row>
    <row r="224" spans="2:14" s="50" customFormat="1">
      <c r="B224" s="440"/>
      <c r="C224" s="440"/>
      <c r="D224" s="370" t="s">
        <v>601</v>
      </c>
      <c r="E224" s="370">
        <v>170</v>
      </c>
      <c r="F224" s="370">
        <v>1</v>
      </c>
      <c r="G224" s="370">
        <v>300</v>
      </c>
      <c r="H224" s="370" t="s">
        <v>374</v>
      </c>
      <c r="I224" s="267">
        <f t="shared" si="14"/>
        <v>300</v>
      </c>
      <c r="J224" s="216">
        <v>300</v>
      </c>
      <c r="K224" s="268">
        <f t="shared" si="13"/>
        <v>300</v>
      </c>
      <c r="L224" s="218">
        <f t="shared" si="15"/>
        <v>30000000</v>
      </c>
      <c r="M224" s="219">
        <f t="shared" si="10"/>
        <v>9.0027908651682028E-3</v>
      </c>
      <c r="N224" s="39" t="s">
        <v>374</v>
      </c>
    </row>
    <row r="225" spans="2:14" s="50" customFormat="1">
      <c r="B225" s="440"/>
      <c r="C225" s="440"/>
      <c r="D225" s="370" t="s">
        <v>515</v>
      </c>
      <c r="E225" s="370">
        <v>180</v>
      </c>
      <c r="F225" s="370">
        <v>1</v>
      </c>
      <c r="G225" s="370">
        <v>300</v>
      </c>
      <c r="H225" s="370" t="s">
        <v>374</v>
      </c>
      <c r="I225" s="267">
        <f t="shared" si="14"/>
        <v>300</v>
      </c>
      <c r="J225" s="216">
        <v>300</v>
      </c>
      <c r="K225" s="268">
        <f t="shared" si="13"/>
        <v>300</v>
      </c>
      <c r="L225" s="218">
        <f t="shared" si="15"/>
        <v>30000000</v>
      </c>
      <c r="M225" s="219">
        <f t="shared" si="10"/>
        <v>9.0027908651682028E-3</v>
      </c>
      <c r="N225" s="39" t="s">
        <v>374</v>
      </c>
    </row>
    <row r="226" spans="2:14" s="50" customFormat="1">
      <c r="B226" s="440"/>
      <c r="C226" s="440"/>
      <c r="D226" s="370" t="s">
        <v>532</v>
      </c>
      <c r="E226" s="370">
        <v>181</v>
      </c>
      <c r="F226" s="370">
        <v>1</v>
      </c>
      <c r="G226" s="370">
        <v>300</v>
      </c>
      <c r="H226" s="370" t="s">
        <v>374</v>
      </c>
      <c r="I226" s="267">
        <f t="shared" si="14"/>
        <v>300</v>
      </c>
      <c r="J226" s="216">
        <v>300</v>
      </c>
      <c r="K226" s="268">
        <f t="shared" si="13"/>
        <v>300</v>
      </c>
      <c r="L226" s="218">
        <f t="shared" si="15"/>
        <v>30000000</v>
      </c>
      <c r="M226" s="219">
        <f t="shared" si="10"/>
        <v>9.0027908651682028E-3</v>
      </c>
      <c r="N226" s="39" t="s">
        <v>374</v>
      </c>
    </row>
    <row r="227" spans="2:14" s="50" customFormat="1">
      <c r="B227" s="440"/>
      <c r="C227" s="440"/>
      <c r="D227" s="370" t="s">
        <v>533</v>
      </c>
      <c r="E227" s="370">
        <v>182</v>
      </c>
      <c r="F227" s="370">
        <v>1</v>
      </c>
      <c r="G227" s="370">
        <v>101</v>
      </c>
      <c r="H227" s="370" t="s">
        <v>374</v>
      </c>
      <c r="I227" s="267">
        <f t="shared" si="14"/>
        <v>101</v>
      </c>
      <c r="J227" s="216">
        <v>101</v>
      </c>
      <c r="K227" s="268">
        <f t="shared" si="13"/>
        <v>101</v>
      </c>
      <c r="L227" s="218">
        <f t="shared" si="15"/>
        <v>10100000</v>
      </c>
      <c r="M227" s="219">
        <f t="shared" si="10"/>
        <v>3.0309395912732949E-3</v>
      </c>
      <c r="N227" s="39" t="s">
        <v>374</v>
      </c>
    </row>
    <row r="228" spans="2:14" s="50" customFormat="1">
      <c r="B228" s="216">
        <v>14</v>
      </c>
      <c r="C228" s="217" t="s">
        <v>602</v>
      </c>
      <c r="D228" s="370" t="s">
        <v>490</v>
      </c>
      <c r="E228" s="370" t="s">
        <v>490</v>
      </c>
      <c r="F228" s="370" t="s">
        <v>137</v>
      </c>
      <c r="G228" s="370" t="s">
        <v>137</v>
      </c>
      <c r="H228" s="370" t="s">
        <v>608</v>
      </c>
      <c r="I228" s="267">
        <f t="shared" si="14"/>
        <v>0</v>
      </c>
      <c r="J228" s="270">
        <v>1620</v>
      </c>
      <c r="K228" s="268">
        <f t="shared" si="13"/>
        <v>0</v>
      </c>
      <c r="L228" s="218">
        <f t="shared" ref="L228:L236" si="16">J228*100000</f>
        <v>162000000</v>
      </c>
      <c r="M228" s="219">
        <f t="shared" si="10"/>
        <v>4.8615070671908289E-2</v>
      </c>
      <c r="N228" s="39" t="s">
        <v>608</v>
      </c>
    </row>
    <row r="229" spans="2:14" s="50" customFormat="1">
      <c r="B229" s="440">
        <v>15</v>
      </c>
      <c r="C229" s="440" t="s">
        <v>603</v>
      </c>
      <c r="D229" s="370" t="s">
        <v>490</v>
      </c>
      <c r="E229" s="370" t="s">
        <v>490</v>
      </c>
      <c r="F229" s="370" t="s">
        <v>137</v>
      </c>
      <c r="G229" s="370" t="s">
        <v>137</v>
      </c>
      <c r="H229" s="370" t="s">
        <v>608</v>
      </c>
      <c r="I229" s="267">
        <f t="shared" si="14"/>
        <v>0</v>
      </c>
      <c r="J229" s="269">
        <v>290</v>
      </c>
      <c r="K229" s="268">
        <f t="shared" si="13"/>
        <v>0</v>
      </c>
      <c r="L229" s="218">
        <f t="shared" si="16"/>
        <v>29000000</v>
      </c>
      <c r="M229" s="219">
        <f t="shared" si="10"/>
        <v>8.7026978363292616E-3</v>
      </c>
      <c r="N229" s="39" t="s">
        <v>608</v>
      </c>
    </row>
    <row r="230" spans="2:14" s="50" customFormat="1">
      <c r="B230" s="440"/>
      <c r="C230" s="440"/>
      <c r="D230" s="370" t="s">
        <v>490</v>
      </c>
      <c r="E230" s="370" t="s">
        <v>490</v>
      </c>
      <c r="F230" s="370" t="s">
        <v>137</v>
      </c>
      <c r="G230" s="370" t="s">
        <v>137</v>
      </c>
      <c r="H230" s="370" t="s">
        <v>608</v>
      </c>
      <c r="I230" s="267">
        <f t="shared" si="14"/>
        <v>0</v>
      </c>
      <c r="J230" s="269">
        <v>710</v>
      </c>
      <c r="K230" s="268">
        <f t="shared" si="13"/>
        <v>0</v>
      </c>
      <c r="L230" s="218">
        <f t="shared" si="16"/>
        <v>71000000</v>
      </c>
      <c r="M230" s="219">
        <f t="shared" si="10"/>
        <v>2.1306605047564747E-2</v>
      </c>
      <c r="N230" s="39" t="s">
        <v>608</v>
      </c>
    </row>
    <row r="231" spans="2:14" s="50" customFormat="1">
      <c r="B231" s="440">
        <v>16</v>
      </c>
      <c r="C231" s="440" t="s">
        <v>604</v>
      </c>
      <c r="D231" s="370" t="s">
        <v>490</v>
      </c>
      <c r="E231" s="370" t="s">
        <v>490</v>
      </c>
      <c r="F231" s="370" t="s">
        <v>137</v>
      </c>
      <c r="G231" s="370" t="s">
        <v>137</v>
      </c>
      <c r="H231" s="370" t="s">
        <v>608</v>
      </c>
      <c r="I231" s="267">
        <f t="shared" si="14"/>
        <v>0</v>
      </c>
      <c r="J231" s="269">
        <v>500</v>
      </c>
      <c r="K231" s="268">
        <f t="shared" si="13"/>
        <v>0</v>
      </c>
      <c r="L231" s="218">
        <f t="shared" si="16"/>
        <v>50000000</v>
      </c>
      <c r="M231" s="219">
        <f t="shared" si="10"/>
        <v>1.5004651441947004E-2</v>
      </c>
      <c r="N231" s="39" t="s">
        <v>608</v>
      </c>
    </row>
    <row r="232" spans="2:14" s="50" customFormat="1">
      <c r="B232" s="440"/>
      <c r="C232" s="440"/>
      <c r="D232" s="370" t="s">
        <v>490</v>
      </c>
      <c r="E232" s="370" t="s">
        <v>490</v>
      </c>
      <c r="F232" s="370" t="s">
        <v>137</v>
      </c>
      <c r="G232" s="370" t="s">
        <v>137</v>
      </c>
      <c r="H232" s="370" t="s">
        <v>608</v>
      </c>
      <c r="I232" s="267">
        <f t="shared" si="14"/>
        <v>0</v>
      </c>
      <c r="J232" s="269">
        <v>500</v>
      </c>
      <c r="K232" s="268">
        <f t="shared" si="13"/>
        <v>0</v>
      </c>
      <c r="L232" s="218">
        <f t="shared" si="16"/>
        <v>50000000</v>
      </c>
      <c r="M232" s="219">
        <f t="shared" si="10"/>
        <v>1.5004651441947004E-2</v>
      </c>
      <c r="N232" s="39" t="s">
        <v>608</v>
      </c>
    </row>
    <row r="233" spans="2:14" s="50" customFormat="1">
      <c r="B233" s="216">
        <v>17</v>
      </c>
      <c r="C233" s="217" t="s">
        <v>605</v>
      </c>
      <c r="D233" s="370" t="s">
        <v>490</v>
      </c>
      <c r="E233" s="370" t="s">
        <v>490</v>
      </c>
      <c r="F233" s="370" t="s">
        <v>137</v>
      </c>
      <c r="G233" s="370" t="s">
        <v>137</v>
      </c>
      <c r="H233" s="370" t="s">
        <v>608</v>
      </c>
      <c r="I233" s="267">
        <f t="shared" si="14"/>
        <v>0</v>
      </c>
      <c r="J233" s="269">
        <v>750</v>
      </c>
      <c r="K233" s="268">
        <f t="shared" si="13"/>
        <v>0</v>
      </c>
      <c r="L233" s="218">
        <f t="shared" si="16"/>
        <v>75000000</v>
      </c>
      <c r="M233" s="219">
        <f t="shared" si="10"/>
        <v>2.2506977162920504E-2</v>
      </c>
      <c r="N233" s="39" t="s">
        <v>608</v>
      </c>
    </row>
    <row r="234" spans="2:14" s="50" customFormat="1">
      <c r="B234" s="216">
        <v>18</v>
      </c>
      <c r="C234" s="217" t="s">
        <v>606</v>
      </c>
      <c r="D234" s="370" t="s">
        <v>490</v>
      </c>
      <c r="E234" s="370" t="s">
        <v>490</v>
      </c>
      <c r="F234" s="370" t="s">
        <v>137</v>
      </c>
      <c r="G234" s="370" t="s">
        <v>137</v>
      </c>
      <c r="H234" s="370" t="s">
        <v>608</v>
      </c>
      <c r="I234" s="267">
        <f t="shared" si="14"/>
        <v>0</v>
      </c>
      <c r="J234" s="270">
        <v>750</v>
      </c>
      <c r="K234" s="268">
        <f t="shared" si="13"/>
        <v>0</v>
      </c>
      <c r="L234" s="218">
        <f t="shared" si="16"/>
        <v>75000000</v>
      </c>
      <c r="M234" s="219">
        <f t="shared" si="10"/>
        <v>2.2506977162920504E-2</v>
      </c>
      <c r="N234" s="39" t="s">
        <v>608</v>
      </c>
    </row>
    <row r="235" spans="2:14" s="50" customFormat="1">
      <c r="B235" s="216">
        <v>19</v>
      </c>
      <c r="C235" s="217" t="s">
        <v>780</v>
      </c>
      <c r="D235" s="370" t="s">
        <v>490</v>
      </c>
      <c r="E235" s="370" t="s">
        <v>490</v>
      </c>
      <c r="F235" s="370" t="s">
        <v>137</v>
      </c>
      <c r="G235" s="370" t="s">
        <v>137</v>
      </c>
      <c r="H235" s="370" t="s">
        <v>608</v>
      </c>
      <c r="I235" s="267">
        <f t="shared" si="14"/>
        <v>0</v>
      </c>
      <c r="J235" s="269">
        <v>1500</v>
      </c>
      <c r="K235" s="268">
        <f t="shared" si="13"/>
        <v>0</v>
      </c>
      <c r="L235" s="218">
        <f t="shared" si="16"/>
        <v>150000000</v>
      </c>
      <c r="M235" s="219">
        <f t="shared" si="10"/>
        <v>4.5013954325841009E-2</v>
      </c>
      <c r="N235" s="39" t="s">
        <v>608</v>
      </c>
    </row>
    <row r="236" spans="2:14" s="50" customFormat="1" ht="15" thickBot="1">
      <c r="B236" s="216">
        <v>20</v>
      </c>
      <c r="C236" s="217" t="s">
        <v>607</v>
      </c>
      <c r="D236" s="370" t="s">
        <v>490</v>
      </c>
      <c r="E236" s="370" t="s">
        <v>490</v>
      </c>
      <c r="F236" s="370" t="s">
        <v>137</v>
      </c>
      <c r="G236" s="370" t="s">
        <v>137</v>
      </c>
      <c r="H236" s="370" t="s">
        <v>608</v>
      </c>
      <c r="I236" s="267">
        <f t="shared" si="14"/>
        <v>0</v>
      </c>
      <c r="J236" s="271">
        <v>2000</v>
      </c>
      <c r="K236" s="272">
        <f t="shared" si="13"/>
        <v>0</v>
      </c>
      <c r="L236" s="273">
        <f t="shared" si="16"/>
        <v>200000000</v>
      </c>
      <c r="M236" s="274">
        <f t="shared" si="10"/>
        <v>6.0018605767788016E-2</v>
      </c>
      <c r="N236" s="39" t="s">
        <v>608</v>
      </c>
    </row>
    <row r="237" spans="2:14" ht="15" thickBot="1">
      <c r="B237" s="445" t="s">
        <v>609</v>
      </c>
      <c r="C237" s="446"/>
      <c r="D237" s="446"/>
      <c r="E237" s="446"/>
      <c r="F237" s="446"/>
      <c r="G237" s="446"/>
      <c r="H237" s="446"/>
      <c r="I237" s="447"/>
      <c r="J237" s="275">
        <f>SUM(J61:J236)</f>
        <v>33323</v>
      </c>
      <c r="K237" s="276">
        <f>SUM(K61:K236)</f>
        <v>22873</v>
      </c>
      <c r="L237" s="276">
        <f>SUM(L61:L236)</f>
        <v>3332300000</v>
      </c>
      <c r="M237" s="277">
        <f>SUM(M61:M236)</f>
        <v>0.99999999999999933</v>
      </c>
    </row>
    <row r="238" spans="2:14" s="50" customFormat="1">
      <c r="B238" s="284"/>
      <c r="C238" s="291"/>
      <c r="D238" s="291"/>
      <c r="E238" s="284"/>
      <c r="F238" s="284"/>
      <c r="G238" s="284"/>
      <c r="H238" s="284"/>
      <c r="I238" s="284"/>
      <c r="J238" s="285"/>
      <c r="K238" s="285"/>
      <c r="L238" s="285"/>
      <c r="M238" s="286"/>
      <c r="N238" s="39"/>
    </row>
    <row r="239" spans="2:14" s="21" customFormat="1">
      <c r="B239" s="287"/>
      <c r="C239" s="294" t="s">
        <v>616</v>
      </c>
      <c r="D239" s="294" t="s">
        <v>6</v>
      </c>
      <c r="E239" s="294" t="s">
        <v>619</v>
      </c>
      <c r="F239" s="287"/>
      <c r="G239" s="287"/>
      <c r="H239" s="287"/>
      <c r="I239" s="287"/>
      <c r="J239" s="288"/>
      <c r="K239" s="288"/>
      <c r="L239" s="288"/>
      <c r="M239" s="289"/>
      <c r="N239" s="295"/>
    </row>
    <row r="240" spans="2:14" s="21" customFormat="1">
      <c r="B240" s="287"/>
      <c r="C240" s="290" t="s">
        <v>617</v>
      </c>
      <c r="D240" s="292">
        <f>+K237</f>
        <v>22873</v>
      </c>
      <c r="E240" s="298">
        <f>SUMIF(N:N,"Ordinaria",M:M)</f>
        <v>0.68640278486330708</v>
      </c>
      <c r="F240" s="287"/>
      <c r="G240" s="287"/>
      <c r="H240" s="287"/>
      <c r="I240" s="287"/>
      <c r="J240" s="288"/>
      <c r="K240" s="288"/>
      <c r="L240" s="288"/>
      <c r="M240" s="289"/>
      <c r="N240" s="295"/>
    </row>
    <row r="241" spans="2:14" s="21" customFormat="1">
      <c r="B241" s="287"/>
      <c r="C241" s="290" t="s">
        <v>618</v>
      </c>
      <c r="D241" s="293">
        <f>+J237-D240</f>
        <v>10450</v>
      </c>
      <c r="E241" s="298">
        <f>SUMIF(N:N,"Preferidas",M:M)</f>
        <v>0.31359721513669236</v>
      </c>
      <c r="F241" s="287"/>
      <c r="G241" s="287"/>
      <c r="H241" s="287"/>
      <c r="I241" s="287"/>
      <c r="J241" s="288"/>
      <c r="K241" s="288"/>
      <c r="L241" s="288"/>
      <c r="M241" s="289"/>
      <c r="N241" s="295"/>
    </row>
    <row r="242" spans="2:14" s="21" customFormat="1">
      <c r="B242" s="287"/>
      <c r="C242" s="296" t="s">
        <v>208</v>
      </c>
      <c r="D242" s="297">
        <f>SUM(D240:D241)</f>
        <v>33323</v>
      </c>
      <c r="E242" s="299">
        <f>SUM(E240:E241)</f>
        <v>0.99999999999999944</v>
      </c>
      <c r="F242" s="287"/>
      <c r="G242" s="287"/>
      <c r="H242" s="287"/>
      <c r="I242" s="287"/>
      <c r="J242" s="288"/>
      <c r="K242" s="288"/>
      <c r="L242" s="288"/>
      <c r="M242" s="289"/>
      <c r="N242" s="295"/>
    </row>
    <row r="244" spans="2:14" ht="6.6" customHeight="1"/>
    <row r="245" spans="2:14">
      <c r="B245" s="176" t="s">
        <v>432</v>
      </c>
      <c r="C245" s="176" t="s">
        <v>433</v>
      </c>
      <c r="D245" s="176"/>
      <c r="E245" s="176"/>
      <c r="F245" s="176"/>
      <c r="G245" s="176"/>
      <c r="H245" s="176"/>
      <c r="I245" s="258"/>
      <c r="J245" s="256"/>
    </row>
    <row r="246" spans="2:14" ht="7.2" customHeight="1"/>
    <row r="247" spans="2:14">
      <c r="B247" s="428" t="s">
        <v>434</v>
      </c>
      <c r="C247" s="428"/>
      <c r="D247" s="181" t="s">
        <v>614</v>
      </c>
      <c r="E247" s="181"/>
      <c r="F247" s="181"/>
      <c r="G247" s="181"/>
      <c r="H247" s="181"/>
      <c r="I247" s="263"/>
    </row>
    <row r="248" spans="2:14" s="50" customFormat="1">
      <c r="B248" s="428" t="s">
        <v>436</v>
      </c>
      <c r="C248" s="431"/>
      <c r="D248" s="181" t="s">
        <v>613</v>
      </c>
      <c r="E248" s="181"/>
      <c r="F248" s="181"/>
      <c r="G248" s="181"/>
      <c r="H248" s="181"/>
      <c r="I248" s="263"/>
      <c r="J248" s="228"/>
      <c r="N248" s="39"/>
    </row>
    <row r="249" spans="2:14">
      <c r="B249" s="428" t="s">
        <v>394</v>
      </c>
      <c r="C249" s="431"/>
      <c r="D249" s="338" t="s">
        <v>677</v>
      </c>
      <c r="E249" s="181"/>
      <c r="F249" s="181"/>
      <c r="G249" s="181"/>
      <c r="H249" s="181"/>
      <c r="I249" s="263"/>
    </row>
    <row r="250" spans="2:14">
      <c r="B250" s="428" t="s">
        <v>435</v>
      </c>
      <c r="C250" s="431"/>
      <c r="D250" s="181" t="s">
        <v>612</v>
      </c>
      <c r="E250" s="181"/>
      <c r="F250" s="181"/>
      <c r="G250" s="181"/>
      <c r="H250" s="181"/>
      <c r="I250" s="263"/>
    </row>
    <row r="251" spans="2:14">
      <c r="B251" s="428" t="s">
        <v>397</v>
      </c>
      <c r="C251" s="431"/>
      <c r="D251" s="181" t="s">
        <v>689</v>
      </c>
      <c r="E251" s="181"/>
      <c r="F251" s="181"/>
      <c r="G251" s="181"/>
      <c r="H251" s="181"/>
      <c r="I251" s="263"/>
    </row>
    <row r="253" spans="2:14">
      <c r="B253" s="176" t="s">
        <v>437</v>
      </c>
      <c r="C253" s="176" t="s">
        <v>438</v>
      </c>
      <c r="D253" s="176"/>
      <c r="E253" s="176"/>
      <c r="F253" s="176"/>
      <c r="G253" s="176"/>
      <c r="H253" s="176"/>
      <c r="I253" s="258"/>
      <c r="J253" s="256"/>
    </row>
    <row r="254" spans="2:14" ht="9" customHeight="1"/>
    <row r="255" spans="2:14">
      <c r="B255" s="439" t="s">
        <v>381</v>
      </c>
      <c r="C255" s="439"/>
      <c r="D255" s="439" t="s">
        <v>382</v>
      </c>
      <c r="E255" s="439"/>
      <c r="F255" s="439"/>
      <c r="G255" s="439"/>
      <c r="H255" s="439"/>
    </row>
    <row r="256" spans="2:14">
      <c r="B256" s="438" t="s">
        <v>471</v>
      </c>
      <c r="C256" s="438"/>
      <c r="D256" s="438" t="s">
        <v>3</v>
      </c>
      <c r="E256" s="438"/>
      <c r="F256" s="438"/>
      <c r="G256" s="438"/>
      <c r="H256" s="438"/>
    </row>
    <row r="257" spans="2:8">
      <c r="B257" s="438" t="s">
        <v>472</v>
      </c>
      <c r="C257" s="438"/>
      <c r="D257" s="438" t="s">
        <v>4</v>
      </c>
      <c r="E257" s="438"/>
      <c r="F257" s="438"/>
      <c r="G257" s="438"/>
      <c r="H257" s="438"/>
    </row>
    <row r="258" spans="2:8">
      <c r="B258" s="438" t="s">
        <v>473</v>
      </c>
      <c r="C258" s="438"/>
      <c r="D258" s="438" t="s">
        <v>439</v>
      </c>
      <c r="E258" s="438"/>
      <c r="F258" s="438"/>
      <c r="G258" s="438"/>
      <c r="H258" s="438"/>
    </row>
    <row r="259" spans="2:8">
      <c r="B259" s="438" t="s">
        <v>478</v>
      </c>
      <c r="C259" s="438"/>
      <c r="D259" s="438" t="s">
        <v>380</v>
      </c>
      <c r="E259" s="438"/>
      <c r="F259" s="438"/>
      <c r="G259" s="438"/>
      <c r="H259" s="438"/>
    </row>
    <row r="260" spans="2:8">
      <c r="B260" s="429" t="s">
        <v>510</v>
      </c>
      <c r="C260" s="429"/>
      <c r="D260" s="220" t="s">
        <v>430</v>
      </c>
      <c r="E260" s="220"/>
      <c r="F260" s="220"/>
      <c r="G260" s="220"/>
      <c r="H260" s="220"/>
    </row>
  </sheetData>
  <mergeCells count="81">
    <mergeCell ref="B251:C251"/>
    <mergeCell ref="C223:C227"/>
    <mergeCell ref="B223:B227"/>
    <mergeCell ref="B229:B230"/>
    <mergeCell ref="C229:C230"/>
    <mergeCell ref="C231:C232"/>
    <mergeCell ref="B231:B232"/>
    <mergeCell ref="B237:I237"/>
    <mergeCell ref="B247:C247"/>
    <mergeCell ref="B248:C248"/>
    <mergeCell ref="B249:C249"/>
    <mergeCell ref="B250:C250"/>
    <mergeCell ref="C198:C222"/>
    <mergeCell ref="B198:B222"/>
    <mergeCell ref="B74:B76"/>
    <mergeCell ref="C74:C76"/>
    <mergeCell ref="B22:J22"/>
    <mergeCell ref="B23:J23"/>
    <mergeCell ref="C172:C189"/>
    <mergeCell ref="B172:B189"/>
    <mergeCell ref="B56:C56"/>
    <mergeCell ref="B61:B63"/>
    <mergeCell ref="C61:C63"/>
    <mergeCell ref="B64:B73"/>
    <mergeCell ref="C64:C73"/>
    <mergeCell ref="B24:J27"/>
    <mergeCell ref="B49:J52"/>
    <mergeCell ref="D43:I43"/>
    <mergeCell ref="B260:C260"/>
    <mergeCell ref="B77:B81"/>
    <mergeCell ref="C77:C81"/>
    <mergeCell ref="C82:C126"/>
    <mergeCell ref="B82:B126"/>
    <mergeCell ref="C127:C132"/>
    <mergeCell ref="B127:B132"/>
    <mergeCell ref="C133:C157"/>
    <mergeCell ref="B133:B157"/>
    <mergeCell ref="B158:B163"/>
    <mergeCell ref="C158:C163"/>
    <mergeCell ref="B164:B171"/>
    <mergeCell ref="C164:C171"/>
    <mergeCell ref="B258:C258"/>
    <mergeCell ref="C190:C197"/>
    <mergeCell ref="B190:B197"/>
    <mergeCell ref="D258:H258"/>
    <mergeCell ref="B259:C259"/>
    <mergeCell ref="D259:H259"/>
    <mergeCell ref="B255:C255"/>
    <mergeCell ref="D255:H255"/>
    <mergeCell ref="B256:C256"/>
    <mergeCell ref="D256:H256"/>
    <mergeCell ref="B257:C257"/>
    <mergeCell ref="D257:H257"/>
    <mergeCell ref="B37:C37"/>
    <mergeCell ref="B39:C39"/>
    <mergeCell ref="D39:H39"/>
    <mergeCell ref="B54:C54"/>
    <mergeCell ref="B3:J3"/>
    <mergeCell ref="B4:J4"/>
    <mergeCell ref="D33:I33"/>
    <mergeCell ref="D34:I34"/>
    <mergeCell ref="D35:I35"/>
    <mergeCell ref="B20:J20"/>
    <mergeCell ref="B21:J21"/>
    <mergeCell ref="C28:I28"/>
    <mergeCell ref="B55:C55"/>
    <mergeCell ref="B53:C53"/>
    <mergeCell ref="B31:C31"/>
    <mergeCell ref="B33:C33"/>
    <mergeCell ref="B32:D32"/>
    <mergeCell ref="B42:C42"/>
    <mergeCell ref="B34:C34"/>
    <mergeCell ref="B35:C35"/>
    <mergeCell ref="B40:C40"/>
    <mergeCell ref="D40:H40"/>
    <mergeCell ref="B44:C44"/>
    <mergeCell ref="B45:C45"/>
    <mergeCell ref="B46:C46"/>
    <mergeCell ref="B43:C43"/>
    <mergeCell ref="D44:I44"/>
    <mergeCell ref="B36:C36"/>
  </mergeCells>
  <pageMargins left="0.70866141732283472" right="0.70866141732283472" top="1.7322834645669292"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3:I67"/>
  <sheetViews>
    <sheetView showGridLines="0" topLeftCell="A7" zoomScale="102" zoomScaleNormal="102" workbookViewId="0">
      <selection activeCell="F14" sqref="F14"/>
    </sheetView>
  </sheetViews>
  <sheetFormatPr baseColWidth="10" defaultColWidth="10.6640625" defaultRowHeight="14.4"/>
  <cols>
    <col min="2" max="2" width="40.33203125" customWidth="1"/>
    <col min="3" max="3" width="14.6640625" style="33" customWidth="1"/>
    <col min="4" max="4" width="12.33203125" style="32" bestFit="1" customWidth="1"/>
    <col min="5" max="5" width="41.44140625" style="32" bestFit="1" customWidth="1"/>
    <col min="6" max="6" width="17.44140625" style="32" bestFit="1" customWidth="1"/>
    <col min="7" max="7" width="13.44140625" style="32" customWidth="1"/>
    <col min="8" max="8" width="15.33203125" bestFit="1" customWidth="1"/>
  </cols>
  <sheetData>
    <row r="3" spans="2:7">
      <c r="B3" s="50"/>
    </row>
    <row r="4" spans="2:7">
      <c r="B4" s="448" t="s">
        <v>758</v>
      </c>
      <c r="C4" s="448"/>
      <c r="D4" s="448"/>
      <c r="E4" s="448"/>
      <c r="F4" s="448"/>
      <c r="G4" s="448"/>
    </row>
    <row r="5" spans="2:7">
      <c r="B5" s="448"/>
      <c r="C5" s="448"/>
      <c r="D5" s="448"/>
      <c r="E5" s="448"/>
      <c r="F5" s="448"/>
      <c r="G5" s="448"/>
    </row>
    <row r="6" spans="2:7">
      <c r="B6" s="448"/>
      <c r="C6" s="448"/>
      <c r="D6" s="448"/>
      <c r="E6" s="448"/>
      <c r="F6" s="448"/>
      <c r="G6" s="448"/>
    </row>
    <row r="7" spans="2:7" ht="15" thickBot="1"/>
    <row r="8" spans="2:7" ht="15" customHeight="1">
      <c r="B8" s="449" t="s">
        <v>7</v>
      </c>
      <c r="C8" s="451" t="s">
        <v>47</v>
      </c>
      <c r="D8" s="449" t="s">
        <v>345</v>
      </c>
      <c r="E8" s="449" t="s">
        <v>9</v>
      </c>
      <c r="F8" s="449" t="s">
        <v>8</v>
      </c>
      <c r="G8" s="449" t="s">
        <v>345</v>
      </c>
    </row>
    <row r="9" spans="2:7" ht="15" thickBot="1">
      <c r="B9" s="450"/>
      <c r="C9" s="452"/>
      <c r="D9" s="450"/>
      <c r="E9" s="450"/>
      <c r="F9" s="450"/>
      <c r="G9" s="450"/>
    </row>
    <row r="10" spans="2:7">
      <c r="B10" s="355" t="s">
        <v>10</v>
      </c>
      <c r="C10" s="356"/>
      <c r="D10" s="142"/>
      <c r="E10" s="357" t="s">
        <v>706</v>
      </c>
      <c r="F10" s="142"/>
      <c r="G10" s="142"/>
    </row>
    <row r="11" spans="2:7">
      <c r="B11" s="358" t="s">
        <v>44</v>
      </c>
      <c r="C11" s="359">
        <f>+SUM(C12:C14)</f>
        <v>589807353</v>
      </c>
      <c r="D11" s="143">
        <f>+SUM(D12:D14)</f>
        <v>666317467.10999775</v>
      </c>
      <c r="E11" s="360" t="s">
        <v>16</v>
      </c>
      <c r="F11" s="143">
        <f>+SUM(F12:F14)</f>
        <v>86807990</v>
      </c>
      <c r="G11" s="143">
        <f>+SUM(G12:G14)</f>
        <v>44562381.989999995</v>
      </c>
    </row>
    <row r="12" spans="2:7">
      <c r="B12" s="361" t="s">
        <v>11</v>
      </c>
      <c r="C12" s="144">
        <v>0</v>
      </c>
      <c r="D12" s="144">
        <v>0</v>
      </c>
      <c r="E12" s="362" t="s">
        <v>331</v>
      </c>
      <c r="F12" s="144">
        <f>+'Anexo 5i-5m'!C93</f>
        <v>28231285</v>
      </c>
      <c r="G12" s="144">
        <f>+'Anexo 5i-5m'!D93</f>
        <v>22985175.989999995</v>
      </c>
    </row>
    <row r="13" spans="2:7">
      <c r="B13" s="361" t="s">
        <v>12</v>
      </c>
      <c r="C13" s="144">
        <f>+'Anexo 5d-5h'!C22</f>
        <v>589807353</v>
      </c>
      <c r="D13" s="144">
        <f>+'Anexo 5d-5h'!D22</f>
        <v>666317467.10999775</v>
      </c>
      <c r="E13" s="362" t="s">
        <v>325</v>
      </c>
      <c r="F13" s="144">
        <f>+'Anexo 5i-5m'!C88</f>
        <v>58576705</v>
      </c>
      <c r="G13" s="144">
        <f>+'Anexo 5i-5m'!D88</f>
        <v>10315809</v>
      </c>
    </row>
    <row r="14" spans="2:7" ht="15" customHeight="1">
      <c r="B14" s="361"/>
      <c r="C14" s="144"/>
      <c r="D14" s="145"/>
      <c r="E14" s="362" t="s">
        <v>678</v>
      </c>
      <c r="F14" s="339">
        <f>+'Anexo 5n-5r'!C18</f>
        <v>0</v>
      </c>
      <c r="G14" s="339">
        <f>+'Anexo 5n-5r'!D18</f>
        <v>11261397</v>
      </c>
    </row>
    <row r="15" spans="2:7">
      <c r="B15" s="358" t="s">
        <v>15</v>
      </c>
      <c r="C15" s="359">
        <f>+SUM(C16:C17)</f>
        <v>674457131</v>
      </c>
      <c r="D15" s="143">
        <f>+SUM(D16:D17)</f>
        <v>1246009893</v>
      </c>
      <c r="E15" s="148"/>
      <c r="F15" s="145"/>
      <c r="G15" s="145"/>
    </row>
    <row r="16" spans="2:7">
      <c r="B16" s="361" t="s">
        <v>13</v>
      </c>
      <c r="C16" s="144">
        <v>49840000</v>
      </c>
      <c r="D16" s="144">
        <v>104860000</v>
      </c>
      <c r="E16" s="360" t="s">
        <v>17</v>
      </c>
      <c r="F16" s="143">
        <f>+SUM(F17:F18)</f>
        <v>0</v>
      </c>
      <c r="G16" s="143">
        <f>+SUM(G17:G18)</f>
        <v>149953933</v>
      </c>
    </row>
    <row r="17" spans="2:7">
      <c r="B17" s="361" t="s">
        <v>14</v>
      </c>
      <c r="C17" s="144">
        <v>624617131</v>
      </c>
      <c r="D17" s="144">
        <v>1141149893</v>
      </c>
      <c r="E17" s="362" t="s">
        <v>697</v>
      </c>
      <c r="F17" s="144">
        <f>+'Anexo 5i-5m'!C42</f>
        <v>0</v>
      </c>
      <c r="G17" s="144">
        <f>+'Anexo 5i-5m'!D42</f>
        <v>123076920</v>
      </c>
    </row>
    <row r="18" spans="2:7">
      <c r="B18" s="148"/>
      <c r="C18" s="145"/>
      <c r="D18" s="145"/>
      <c r="E18" s="362" t="s">
        <v>18</v>
      </c>
      <c r="F18" s="144">
        <f>+'Anexo 5i-5m'!C47</f>
        <v>0</v>
      </c>
      <c r="G18" s="144">
        <f>+'Anexo 5i-5m'!D47</f>
        <v>26877013</v>
      </c>
    </row>
    <row r="19" spans="2:7">
      <c r="B19" s="358" t="s">
        <v>19</v>
      </c>
      <c r="C19" s="359">
        <f>+SUM(C20:C22)</f>
        <v>1076619033</v>
      </c>
      <c r="D19" s="359">
        <f>+SUM(D20:D22)</f>
        <v>212799189</v>
      </c>
      <c r="E19" s="148"/>
      <c r="F19" s="145"/>
      <c r="G19" s="145"/>
    </row>
    <row r="20" spans="2:7">
      <c r="B20" s="361" t="s">
        <v>20</v>
      </c>
      <c r="C20" s="144">
        <f>+'Anexo 5d-5h'!C85</f>
        <v>1001744557</v>
      </c>
      <c r="D20" s="144">
        <f>+'Anexo 5d-5h'!D85</f>
        <v>137632439</v>
      </c>
      <c r="E20" s="360" t="s">
        <v>23</v>
      </c>
      <c r="F20" s="143">
        <f>+SUM(F21:F24)</f>
        <v>4993516</v>
      </c>
      <c r="G20" s="143">
        <f>+SUM(G21:G24)</f>
        <v>5043956</v>
      </c>
    </row>
    <row r="21" spans="2:7">
      <c r="B21" s="361" t="s">
        <v>21</v>
      </c>
      <c r="C21" s="144">
        <f>+'Anexo 5d-5h'!C50</f>
        <v>0</v>
      </c>
      <c r="D21" s="144">
        <f>+'Anexo 5d-5h'!D50</f>
        <v>0</v>
      </c>
      <c r="E21" s="362" t="s">
        <v>24</v>
      </c>
      <c r="F21" s="144">
        <v>0</v>
      </c>
      <c r="G21" s="144">
        <v>0</v>
      </c>
    </row>
    <row r="22" spans="2:7">
      <c r="B22" s="361" t="s">
        <v>22</v>
      </c>
      <c r="C22" s="144">
        <f>+'Anexo 5d-5h'!C57</f>
        <v>74874476</v>
      </c>
      <c r="D22" s="144">
        <f>+'Anexo 5d-5h'!D57</f>
        <v>75166750</v>
      </c>
      <c r="E22" s="362" t="s">
        <v>25</v>
      </c>
      <c r="F22" s="144">
        <v>4993516</v>
      </c>
      <c r="G22" s="144">
        <v>5043956</v>
      </c>
    </row>
    <row r="23" spans="2:7">
      <c r="B23" s="361"/>
      <c r="C23" s="365"/>
      <c r="D23" s="148"/>
      <c r="E23" s="362" t="s">
        <v>26</v>
      </c>
      <c r="F23" s="144">
        <v>0</v>
      </c>
      <c r="G23" s="144">
        <v>0</v>
      </c>
    </row>
    <row r="24" spans="2:7">
      <c r="B24" s="358" t="s">
        <v>695</v>
      </c>
      <c r="C24" s="359">
        <f>+C25</f>
        <v>146683036</v>
      </c>
      <c r="D24" s="143">
        <f>+D25</f>
        <v>126994843</v>
      </c>
      <c r="E24" s="362"/>
      <c r="F24" s="145"/>
      <c r="G24" s="145"/>
    </row>
    <row r="25" spans="2:7">
      <c r="B25" s="361" t="s">
        <v>27</v>
      </c>
      <c r="C25" s="144">
        <f>+'Anexo 5i-5m'!C27</f>
        <v>146683036</v>
      </c>
      <c r="D25" s="144">
        <f>+'Anexo 5i-5m'!D27</f>
        <v>126994843</v>
      </c>
      <c r="E25" s="360" t="s">
        <v>28</v>
      </c>
      <c r="F25" s="143">
        <f>+SUM(F26:F28)</f>
        <v>139994306</v>
      </c>
      <c r="G25" s="143">
        <f>+SUM(G26:G28)</f>
        <v>11121674</v>
      </c>
    </row>
    <row r="26" spans="2:7">
      <c r="B26" s="358"/>
      <c r="C26" s="365"/>
      <c r="D26" s="148"/>
      <c r="E26" s="362" t="s">
        <v>29</v>
      </c>
      <c r="F26" s="144">
        <f>+'Anexo 5n-5r'!C33</f>
        <v>124050542</v>
      </c>
      <c r="G26" s="144">
        <f>+'Anexo 5n-5r'!D33</f>
        <v>11121674</v>
      </c>
    </row>
    <row r="27" spans="2:7">
      <c r="B27" s="358"/>
      <c r="C27" s="365"/>
      <c r="D27" s="148"/>
      <c r="E27" s="362" t="s">
        <v>30</v>
      </c>
      <c r="F27" s="144">
        <f>+'Anexo 5n-5r'!C45</f>
        <v>15943764</v>
      </c>
      <c r="G27" s="144">
        <v>0</v>
      </c>
    </row>
    <row r="28" spans="2:7">
      <c r="B28" s="358"/>
      <c r="C28" s="365"/>
      <c r="D28" s="148"/>
      <c r="E28" s="362"/>
      <c r="F28" s="144"/>
      <c r="G28" s="145"/>
    </row>
    <row r="29" spans="2:7">
      <c r="B29" s="358" t="s">
        <v>31</v>
      </c>
      <c r="C29" s="143">
        <f>+C25+C19+C15+C11</f>
        <v>2487566553</v>
      </c>
      <c r="D29" s="143">
        <f>+D25+D19+D15+D11</f>
        <v>2252121392.1099977</v>
      </c>
      <c r="E29" s="360" t="s">
        <v>32</v>
      </c>
      <c r="F29" s="143">
        <f>+F11+F16+F20+F25</f>
        <v>231795812</v>
      </c>
      <c r="G29" s="143">
        <f>+G11+G16+G20+G25</f>
        <v>210681944.99000001</v>
      </c>
    </row>
    <row r="30" spans="2:7">
      <c r="B30" s="361"/>
      <c r="C30" s="363"/>
      <c r="D30" s="362"/>
      <c r="E30" s="361"/>
      <c r="F30" s="145"/>
      <c r="G30" s="145"/>
    </row>
    <row r="31" spans="2:7">
      <c r="B31" s="358" t="s">
        <v>33</v>
      </c>
      <c r="C31" s="144"/>
      <c r="D31" s="145"/>
      <c r="E31" s="358" t="s">
        <v>696</v>
      </c>
      <c r="F31" s="315"/>
      <c r="G31" s="145"/>
    </row>
    <row r="32" spans="2:7">
      <c r="B32" s="358" t="s">
        <v>693</v>
      </c>
      <c r="C32" s="143">
        <f>+SUM(C33:C36)</f>
        <v>905447631</v>
      </c>
      <c r="D32" s="143">
        <f>+SUM(D33:D36)</f>
        <v>919774056</v>
      </c>
      <c r="E32" s="360" t="s">
        <v>17</v>
      </c>
      <c r="F32" s="143">
        <f>+F33</f>
        <v>0</v>
      </c>
      <c r="G32" s="143">
        <f>+G33</f>
        <v>76923080</v>
      </c>
    </row>
    <row r="33" spans="2:8">
      <c r="B33" s="366" t="s">
        <v>691</v>
      </c>
      <c r="C33" s="144">
        <v>11637</v>
      </c>
      <c r="D33" s="144">
        <v>18644632</v>
      </c>
      <c r="E33" s="362" t="s">
        <v>697</v>
      </c>
      <c r="F33" s="144">
        <f>+'Anexo 5i-5m'!C57</f>
        <v>0</v>
      </c>
      <c r="G33" s="144">
        <f>+'Anexo 5i-5m'!D57</f>
        <v>76923080</v>
      </c>
    </row>
    <row r="34" spans="2:8">
      <c r="B34" s="366" t="s">
        <v>692</v>
      </c>
      <c r="C34" s="144">
        <v>5435994</v>
      </c>
      <c r="D34" s="144">
        <v>1129424</v>
      </c>
      <c r="E34" s="362"/>
      <c r="F34" s="144"/>
      <c r="G34" s="144"/>
    </row>
    <row r="35" spans="2:8">
      <c r="B35" s="361" t="s">
        <v>694</v>
      </c>
      <c r="C35" s="144">
        <v>900000000</v>
      </c>
      <c r="D35" s="144">
        <v>900000000</v>
      </c>
      <c r="E35" s="362" t="s">
        <v>328</v>
      </c>
      <c r="F35" s="146">
        <f>+'Anexo 5n-5r'!C10</f>
        <v>775079274</v>
      </c>
      <c r="G35" s="146">
        <f>+'Anexo 5n-5r'!D10</f>
        <v>461139874</v>
      </c>
    </row>
    <row r="36" spans="2:8" ht="18.75" customHeight="1">
      <c r="B36" s="361" t="s">
        <v>34</v>
      </c>
      <c r="C36" s="144">
        <v>0</v>
      </c>
      <c r="D36" s="144">
        <v>0</v>
      </c>
      <c r="E36" s="362"/>
      <c r="F36" s="148"/>
      <c r="G36" s="148"/>
    </row>
    <row r="37" spans="2:8">
      <c r="B37" s="364"/>
      <c r="C37" s="365"/>
      <c r="D37" s="148"/>
      <c r="E37" s="360" t="s">
        <v>35</v>
      </c>
      <c r="F37" s="375">
        <f>+F32+F35</f>
        <v>775079274</v>
      </c>
      <c r="G37" s="375">
        <f>+G32+G35</f>
        <v>538062954</v>
      </c>
    </row>
    <row r="38" spans="2:8">
      <c r="B38" s="358" t="s">
        <v>690</v>
      </c>
      <c r="C38" s="365"/>
      <c r="D38" s="148"/>
      <c r="E38" s="360"/>
      <c r="F38" s="144"/>
      <c r="G38" s="144"/>
    </row>
    <row r="39" spans="2:8">
      <c r="B39" s="361"/>
      <c r="C39" s="365"/>
      <c r="D39" s="148"/>
      <c r="E39" s="360"/>
      <c r="F39" s="145"/>
      <c r="G39" s="145"/>
    </row>
    <row r="40" spans="2:8">
      <c r="B40" s="358" t="s">
        <v>703</v>
      </c>
      <c r="C40" s="144">
        <f>+'Anexo 5d-5h'!G98</f>
        <v>257957551</v>
      </c>
      <c r="D40" s="144">
        <f>+'Anexo 5d-5h'!G99</f>
        <v>238473715</v>
      </c>
      <c r="E40" s="360" t="s">
        <v>37</v>
      </c>
      <c r="F40" s="143">
        <f>+F29+F37</f>
        <v>1006875086</v>
      </c>
      <c r="G40" s="143">
        <f>+G29+G37</f>
        <v>748744898.99000001</v>
      </c>
    </row>
    <row r="41" spans="2:8">
      <c r="B41" s="361" t="s">
        <v>36</v>
      </c>
      <c r="C41" s="144">
        <f>-'Anexo 5d-5h'!L98</f>
        <v>-212023375.22468257</v>
      </c>
      <c r="D41" s="144">
        <f>-'Anexo 5d-5h'!L99</f>
        <v>-212023375.22468257</v>
      </c>
      <c r="E41" s="360"/>
      <c r="F41" s="147"/>
      <c r="G41" s="147"/>
    </row>
    <row r="42" spans="2:8">
      <c r="B42" s="361"/>
      <c r="C42" s="365"/>
      <c r="D42" s="148"/>
      <c r="E42" s="360" t="s">
        <v>38</v>
      </c>
      <c r="F42" s="143"/>
      <c r="G42" s="143"/>
    </row>
    <row r="43" spans="2:8" s="50" customFormat="1">
      <c r="B43" s="361"/>
      <c r="C43" s="365"/>
      <c r="D43" s="148"/>
      <c r="E43" s="362" t="s">
        <v>41</v>
      </c>
      <c r="F43" s="144">
        <v>3332300000</v>
      </c>
      <c r="G43" s="144">
        <v>3332300000</v>
      </c>
    </row>
    <row r="44" spans="2:8">
      <c r="B44" s="376" t="s">
        <v>705</v>
      </c>
      <c r="C44" s="143">
        <f>+'Anexo 5i-5m'!F9</f>
        <v>72439391</v>
      </c>
      <c r="D44" s="143">
        <f>+'Anexo 5i-5m'!C10</f>
        <v>54939392</v>
      </c>
      <c r="E44" s="362" t="s">
        <v>704</v>
      </c>
      <c r="F44" s="144">
        <v>9484301</v>
      </c>
      <c r="G44" s="144">
        <v>9484301</v>
      </c>
    </row>
    <row r="45" spans="2:8" s="50" customFormat="1">
      <c r="B45" s="376"/>
      <c r="C45" s="144"/>
      <c r="D45" s="145"/>
      <c r="E45" s="362" t="s">
        <v>379</v>
      </c>
      <c r="F45" s="144">
        <v>7000000</v>
      </c>
      <c r="G45" s="144">
        <v>7000000</v>
      </c>
    </row>
    <row r="46" spans="2:8" s="50" customFormat="1">
      <c r="B46" s="376" t="s">
        <v>640</v>
      </c>
      <c r="C46" s="143">
        <f>+C47</f>
        <v>311618073</v>
      </c>
      <c r="D46" s="143">
        <f>+D47</f>
        <v>311618073</v>
      </c>
      <c r="E46" s="362" t="s">
        <v>665</v>
      </c>
      <c r="F46" s="144">
        <v>700000000</v>
      </c>
      <c r="G46" s="144">
        <v>700000000</v>
      </c>
      <c r="H46" s="14"/>
    </row>
    <row r="47" spans="2:8" s="50" customFormat="1">
      <c r="B47" s="377" t="s">
        <v>707</v>
      </c>
      <c r="C47" s="144">
        <f>+'Anexo 5i-5m'!C34</f>
        <v>311618073</v>
      </c>
      <c r="D47" s="144">
        <f>+'Anexo 5i-5m'!D34</f>
        <v>311618073</v>
      </c>
      <c r="E47" s="360" t="s">
        <v>378</v>
      </c>
      <c r="F47" s="143">
        <f>+F48+F49+F50</f>
        <v>169574314</v>
      </c>
      <c r="G47" s="143">
        <f>+G48+G49+G50</f>
        <v>169574314</v>
      </c>
    </row>
    <row r="48" spans="2:8">
      <c r="B48" s="378"/>
      <c r="C48" s="144"/>
      <c r="D48" s="145"/>
      <c r="E48" s="362" t="s">
        <v>139</v>
      </c>
      <c r="F48" s="144">
        <v>101070434</v>
      </c>
      <c r="G48" s="144">
        <v>101070434</v>
      </c>
    </row>
    <row r="49" spans="2:9">
      <c r="B49" s="361"/>
      <c r="C49" s="144"/>
      <c r="D49" s="144"/>
      <c r="E49" s="362" t="s">
        <v>42</v>
      </c>
      <c r="F49" s="144">
        <v>57662078</v>
      </c>
      <c r="G49" s="144">
        <v>57662078</v>
      </c>
    </row>
    <row r="50" spans="2:9">
      <c r="B50" s="361"/>
      <c r="C50" s="144"/>
      <c r="D50" s="144"/>
      <c r="E50" s="362" t="s">
        <v>349</v>
      </c>
      <c r="F50" s="144">
        <v>10841802</v>
      </c>
      <c r="G50" s="144">
        <v>10841802</v>
      </c>
    </row>
    <row r="51" spans="2:9" s="50" customFormat="1">
      <c r="B51" s="361"/>
      <c r="C51" s="144"/>
      <c r="D51" s="144"/>
      <c r="E51" s="362"/>
      <c r="F51" s="143">
        <f>+F52+F53</f>
        <v>-1402227877</v>
      </c>
      <c r="G51" s="143">
        <f>+G52+G53</f>
        <v>-1402200261</v>
      </c>
    </row>
    <row r="52" spans="2:9">
      <c r="B52" s="361"/>
      <c r="C52" s="144"/>
      <c r="D52" s="144"/>
      <c r="E52" s="362" t="s">
        <v>258</v>
      </c>
      <c r="F52" s="144">
        <v>-1528230865</v>
      </c>
      <c r="G52" s="144">
        <v>-1528230865</v>
      </c>
      <c r="H52" s="14"/>
    </row>
    <row r="53" spans="2:9">
      <c r="B53" s="361"/>
      <c r="C53" s="144"/>
      <c r="D53" s="144"/>
      <c r="E53" s="362" t="s">
        <v>350</v>
      </c>
      <c r="F53" s="144">
        <v>126002988</v>
      </c>
      <c r="G53" s="144">
        <v>126030604</v>
      </c>
      <c r="H53" s="14"/>
    </row>
    <row r="54" spans="2:9">
      <c r="B54" s="361"/>
      <c r="C54" s="144"/>
      <c r="D54" s="145"/>
      <c r="E54" s="148"/>
      <c r="F54" s="148"/>
      <c r="G54" s="148"/>
      <c r="H54" s="23"/>
    </row>
    <row r="55" spans="2:9" ht="15" thickBot="1">
      <c r="B55" s="358" t="s">
        <v>40</v>
      </c>
      <c r="C55" s="143">
        <f>+C32+C40+C41+C44+C46</f>
        <v>1335439270.7753174</v>
      </c>
      <c r="D55" s="143">
        <f>+D32+D40+D41+D44+D46</f>
        <v>1312781860.7753174</v>
      </c>
      <c r="E55" s="360" t="s">
        <v>320</v>
      </c>
      <c r="F55" s="379">
        <f>+F51+F47+F46+F45+F44+F43</f>
        <v>2816130738</v>
      </c>
      <c r="G55" s="379">
        <f>+G51+G47+G46+G45+G44+G43</f>
        <v>2816158354</v>
      </c>
      <c r="H55" s="23"/>
    </row>
    <row r="56" spans="2:9">
      <c r="B56" s="459" t="s">
        <v>45</v>
      </c>
      <c r="C56" s="461">
        <f>+C29+C55</f>
        <v>3823005823.7753172</v>
      </c>
      <c r="D56" s="461">
        <f>+D29+D55</f>
        <v>3564903252.8853149</v>
      </c>
      <c r="E56" s="463" t="s">
        <v>43</v>
      </c>
      <c r="F56" s="465">
        <f>+F40+F55</f>
        <v>3823005824</v>
      </c>
      <c r="G56" s="465">
        <f>+G40+G55</f>
        <v>3564903252.9899998</v>
      </c>
      <c r="H56" s="14"/>
    </row>
    <row r="57" spans="2:9" ht="15" thickBot="1">
      <c r="B57" s="460"/>
      <c r="C57" s="462"/>
      <c r="D57" s="462"/>
      <c r="E57" s="464"/>
      <c r="F57" s="466"/>
      <c r="G57" s="466"/>
      <c r="H57" s="14"/>
      <c r="I57" s="14"/>
    </row>
    <row r="58" spans="2:9">
      <c r="F58" s="33"/>
    </row>
    <row r="59" spans="2:9" ht="15" thickBot="1">
      <c r="H59" s="14"/>
    </row>
    <row r="60" spans="2:9" ht="15" customHeight="1">
      <c r="B60" s="467"/>
      <c r="C60" s="469" t="s">
        <v>8</v>
      </c>
      <c r="D60" s="455" t="s">
        <v>46</v>
      </c>
      <c r="E60" s="453"/>
      <c r="F60" s="455" t="s">
        <v>8</v>
      </c>
      <c r="G60" s="457" t="s">
        <v>46</v>
      </c>
    </row>
    <row r="61" spans="2:9">
      <c r="B61" s="468"/>
      <c r="C61" s="470"/>
      <c r="D61" s="456"/>
      <c r="E61" s="454"/>
      <c r="F61" s="456"/>
      <c r="G61" s="458"/>
    </row>
    <row r="62" spans="2:9">
      <c r="B62" s="404" t="s">
        <v>332</v>
      </c>
      <c r="C62" s="157">
        <f>SUM(C63:C64)</f>
        <v>625761011</v>
      </c>
      <c r="D62" s="157">
        <f>SUM(D63:D64)</f>
        <v>1290385524</v>
      </c>
      <c r="E62" s="34" t="s">
        <v>333</v>
      </c>
      <c r="F62" s="157">
        <f>SUM(F63:F64)</f>
        <v>625761011</v>
      </c>
      <c r="G62" s="157">
        <f>SUM(G63:G64)</f>
        <v>1290375524</v>
      </c>
    </row>
    <row r="63" spans="2:9" s="50" customFormat="1">
      <c r="B63" s="405" t="s">
        <v>749</v>
      </c>
      <c r="C63" s="406">
        <v>5257895</v>
      </c>
      <c r="D63" s="406">
        <v>1524424</v>
      </c>
      <c r="E63" s="407" t="s">
        <v>666</v>
      </c>
      <c r="F63" s="157">
        <v>0</v>
      </c>
      <c r="G63" s="157">
        <v>0</v>
      </c>
    </row>
    <row r="64" spans="2:9" s="50" customFormat="1">
      <c r="B64" s="405" t="s">
        <v>748</v>
      </c>
      <c r="C64" s="406">
        <v>620503116</v>
      </c>
      <c r="D64" s="406">
        <v>1288861100</v>
      </c>
      <c r="E64" s="407" t="s">
        <v>667</v>
      </c>
      <c r="F64" s="157">
        <v>625761011</v>
      </c>
      <c r="G64" s="157">
        <v>1290375524</v>
      </c>
    </row>
    <row r="67" spans="2:8">
      <c r="B67" s="471" t="s">
        <v>388</v>
      </c>
      <c r="C67" s="471"/>
      <c r="D67" s="471"/>
      <c r="E67" s="471"/>
      <c r="F67" s="471"/>
      <c r="G67" s="471"/>
      <c r="H67" s="198"/>
    </row>
  </sheetData>
  <mergeCells count="20">
    <mergeCell ref="B67:G67"/>
    <mergeCell ref="D8:D9"/>
    <mergeCell ref="E8:E9"/>
    <mergeCell ref="F8:F9"/>
    <mergeCell ref="G8:G9"/>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4:G50"/>
  <sheetViews>
    <sheetView showGridLines="0" topLeftCell="A16" zoomScale="102" zoomScaleNormal="102" workbookViewId="0">
      <selection activeCell="C16" sqref="C16"/>
    </sheetView>
  </sheetViews>
  <sheetFormatPr baseColWidth="10" defaultColWidth="10.6640625" defaultRowHeight="14.4"/>
  <cols>
    <col min="2" max="2" width="47" bestFit="1" customWidth="1"/>
    <col min="3" max="3" width="16.6640625" customWidth="1"/>
    <col min="4" max="4" width="23.44140625" customWidth="1"/>
    <col min="6" max="6" width="12.6640625" bestFit="1" customWidth="1"/>
    <col min="8" max="8" width="17.33203125" customWidth="1"/>
  </cols>
  <sheetData>
    <row r="4" spans="2:4">
      <c r="B4" s="472" t="s">
        <v>760</v>
      </c>
      <c r="C4" s="472"/>
      <c r="D4" s="472"/>
    </row>
    <row r="5" spans="2:4">
      <c r="B5" s="472"/>
      <c r="C5" s="472"/>
      <c r="D5" s="472"/>
    </row>
    <row r="7" spans="2:4">
      <c r="B7" s="249"/>
      <c r="C7" s="250" t="s">
        <v>47</v>
      </c>
      <c r="D7" s="243" t="s">
        <v>48</v>
      </c>
    </row>
    <row r="8" spans="2:4">
      <c r="B8" s="125" t="s">
        <v>49</v>
      </c>
      <c r="C8" s="126">
        <f>+SUM(C9:C16)</f>
        <v>556359360</v>
      </c>
      <c r="D8" s="126">
        <f>+SUM(D9:D16)</f>
        <v>879041731.85000014</v>
      </c>
    </row>
    <row r="9" spans="2:4">
      <c r="B9" s="127" t="s">
        <v>50</v>
      </c>
      <c r="C9" s="131"/>
      <c r="D9" s="131"/>
    </row>
    <row r="10" spans="2:4">
      <c r="B10" s="128" t="s">
        <v>51</v>
      </c>
      <c r="C10" s="159">
        <v>0</v>
      </c>
      <c r="D10" s="129">
        <v>148121300</v>
      </c>
    </row>
    <row r="11" spans="2:4">
      <c r="B11" s="128" t="s">
        <v>52</v>
      </c>
      <c r="C11" s="159">
        <v>58902353</v>
      </c>
      <c r="D11" s="129">
        <v>23488508</v>
      </c>
    </row>
    <row r="12" spans="2:4">
      <c r="B12" s="127" t="s">
        <v>53</v>
      </c>
      <c r="C12" s="132"/>
      <c r="D12" s="131"/>
    </row>
    <row r="13" spans="2:4">
      <c r="B13" s="128" t="s">
        <v>54</v>
      </c>
      <c r="C13" s="159">
        <v>2268038</v>
      </c>
      <c r="D13" s="129">
        <v>125163650</v>
      </c>
    </row>
    <row r="14" spans="2:4">
      <c r="B14" s="128" t="s">
        <v>55</v>
      </c>
      <c r="C14" s="159">
        <v>37684636</v>
      </c>
      <c r="D14" s="129">
        <v>37699525.410000004</v>
      </c>
    </row>
    <row r="15" spans="2:4">
      <c r="B15" s="130" t="s">
        <v>56</v>
      </c>
      <c r="C15" s="159">
        <v>10000000</v>
      </c>
      <c r="D15" s="129"/>
    </row>
    <row r="16" spans="2:4">
      <c r="B16" s="130" t="s">
        <v>57</v>
      </c>
      <c r="C16" s="159">
        <f>+'Anexo 5s-5w'!C42</f>
        <v>447504333</v>
      </c>
      <c r="D16" s="159">
        <f>+'Anexo 5s-5w'!D42</f>
        <v>544568748.44000006</v>
      </c>
    </row>
    <row r="17" spans="2:6">
      <c r="B17" s="125" t="s">
        <v>58</v>
      </c>
      <c r="C17" s="126">
        <f>-SUM(C18:C20)</f>
        <v>-53189986</v>
      </c>
      <c r="D17" s="126">
        <f>-SUM(D18:D20)</f>
        <v>-83388000</v>
      </c>
    </row>
    <row r="18" spans="2:6">
      <c r="B18" s="130" t="s">
        <v>59</v>
      </c>
      <c r="C18" s="367">
        <v>0</v>
      </c>
      <c r="D18" s="131">
        <v>0</v>
      </c>
    </row>
    <row r="19" spans="2:6">
      <c r="B19" s="130" t="s">
        <v>60</v>
      </c>
      <c r="C19" s="132">
        <f>'Anexo 5s-5w'!C55</f>
        <v>50269138</v>
      </c>
      <c r="D19" s="132">
        <f>'Anexo 5s-5w'!D55</f>
        <v>83388000</v>
      </c>
    </row>
    <row r="20" spans="2:6">
      <c r="B20" s="130" t="s">
        <v>61</v>
      </c>
      <c r="C20" s="132">
        <f>+'Anexo 5s-5w'!C64</f>
        <v>2920848</v>
      </c>
      <c r="D20" s="132">
        <f>+'Anexo 5s-5w'!D64</f>
        <v>0</v>
      </c>
      <c r="F20" s="14"/>
    </row>
    <row r="21" spans="2:6">
      <c r="B21" s="125" t="s">
        <v>62</v>
      </c>
      <c r="C21" s="126">
        <f>+C8+C17</f>
        <v>503169374</v>
      </c>
      <c r="D21" s="126">
        <f>+D8+D17</f>
        <v>795653731.85000014</v>
      </c>
    </row>
    <row r="22" spans="2:6">
      <c r="B22" s="127" t="s">
        <v>63</v>
      </c>
      <c r="C22" s="133">
        <f>-SUM(C23:C25)</f>
        <v>-132110524</v>
      </c>
      <c r="D22" s="133">
        <f>-SUM(D23:D25)</f>
        <v>-15400566.359999999</v>
      </c>
    </row>
    <row r="23" spans="2:6">
      <c r="B23" s="130" t="s">
        <v>64</v>
      </c>
      <c r="C23" s="132">
        <v>2595335</v>
      </c>
      <c r="D23" s="409">
        <v>14039090.92</v>
      </c>
    </row>
    <row r="24" spans="2:6">
      <c r="B24" s="130" t="s">
        <v>65</v>
      </c>
      <c r="C24" s="132">
        <v>0</v>
      </c>
      <c r="D24" s="131">
        <v>0</v>
      </c>
    </row>
    <row r="25" spans="2:6">
      <c r="B25" s="130" t="s">
        <v>66</v>
      </c>
      <c r="C25" s="132">
        <f>'Anexo 5s-5w'!C74</f>
        <v>129515189</v>
      </c>
      <c r="D25" s="131">
        <f>+'Anexo 5s-5w'!D74</f>
        <v>1361475.44</v>
      </c>
    </row>
    <row r="26" spans="2:6">
      <c r="B26" s="127" t="s">
        <v>67</v>
      </c>
      <c r="C26" s="133">
        <f>-SUM(C27:C32)</f>
        <v>-425309336</v>
      </c>
      <c r="D26" s="133">
        <f>-SUM(D27:D32)</f>
        <v>-405135543.55000007</v>
      </c>
    </row>
    <row r="27" spans="2:6">
      <c r="B27" s="130" t="s">
        <v>68</v>
      </c>
      <c r="C27" s="132">
        <v>0</v>
      </c>
      <c r="D27" s="409">
        <v>89576757.280000001</v>
      </c>
    </row>
    <row r="28" spans="2:6">
      <c r="B28" s="130" t="s">
        <v>69</v>
      </c>
      <c r="C28" s="132">
        <v>0</v>
      </c>
      <c r="D28" s="131">
        <v>0</v>
      </c>
    </row>
    <row r="29" spans="2:6">
      <c r="B29" s="130" t="s">
        <v>70</v>
      </c>
      <c r="C29" s="132">
        <v>0</v>
      </c>
      <c r="D29" s="409">
        <v>45610807.549999997</v>
      </c>
    </row>
    <row r="30" spans="2:6">
      <c r="B30" s="130" t="s">
        <v>71</v>
      </c>
      <c r="C30" s="132">
        <v>1909092</v>
      </c>
      <c r="D30" s="409">
        <v>1590910</v>
      </c>
    </row>
    <row r="31" spans="2:6">
      <c r="B31" s="130" t="s">
        <v>72</v>
      </c>
      <c r="C31" s="132">
        <v>7401310</v>
      </c>
      <c r="D31" s="409">
        <v>16994741</v>
      </c>
    </row>
    <row r="32" spans="2:6">
      <c r="B32" s="130" t="s">
        <v>73</v>
      </c>
      <c r="C32" s="132">
        <f>'Anexo 5s-5w'!C104</f>
        <v>415998934</v>
      </c>
      <c r="D32" s="131">
        <f>+'Anexo 5s-5w'!D104</f>
        <v>251362327.72000009</v>
      </c>
    </row>
    <row r="33" spans="2:5">
      <c r="B33" s="125" t="s">
        <v>74</v>
      </c>
      <c r="C33" s="126">
        <f>+C21+C22+C26</f>
        <v>-54250486</v>
      </c>
      <c r="D33" s="126">
        <f>+D21+D22+D26</f>
        <v>375117621.94000006</v>
      </c>
    </row>
    <row r="34" spans="2:5">
      <c r="B34" s="127" t="s">
        <v>75</v>
      </c>
      <c r="C34" s="342"/>
      <c r="D34" s="133"/>
    </row>
    <row r="35" spans="2:5">
      <c r="B35" s="130" t="s">
        <v>76</v>
      </c>
      <c r="C35" s="131">
        <f>+'Anexo 5x-5z'!C13</f>
        <v>142427826</v>
      </c>
      <c r="D35" s="409">
        <v>2739868.4800000191</v>
      </c>
    </row>
    <row r="36" spans="2:5">
      <c r="B36" s="130" t="s">
        <v>77</v>
      </c>
      <c r="C36" s="132">
        <v>0</v>
      </c>
      <c r="D36" s="131">
        <v>0</v>
      </c>
    </row>
    <row r="37" spans="2:5">
      <c r="B37" s="127" t="s">
        <v>78</v>
      </c>
      <c r="C37" s="342"/>
      <c r="D37" s="133"/>
    </row>
    <row r="38" spans="2:5">
      <c r="B38" s="127" t="s">
        <v>79</v>
      </c>
      <c r="C38" s="342"/>
      <c r="D38" s="133"/>
    </row>
    <row r="39" spans="2:5">
      <c r="B39" s="130" t="s">
        <v>80</v>
      </c>
      <c r="C39" s="132">
        <f>+'Anexo 5x-5z'!C30</f>
        <v>54295528</v>
      </c>
      <c r="D39" s="131">
        <f>+'Anexo 5x-5z'!D30</f>
        <v>5758330</v>
      </c>
    </row>
    <row r="40" spans="2:5">
      <c r="B40" s="130" t="s">
        <v>81</v>
      </c>
      <c r="C40" s="132">
        <v>-17585113</v>
      </c>
      <c r="D40" s="409">
        <v>4688724.88</v>
      </c>
    </row>
    <row r="41" spans="2:5">
      <c r="B41" s="127" t="s">
        <v>82</v>
      </c>
      <c r="C41" s="342"/>
      <c r="D41" s="133"/>
    </row>
    <row r="42" spans="2:5">
      <c r="B42" s="130" t="s">
        <v>83</v>
      </c>
      <c r="C42" s="132">
        <f>-'Anexo 5x-5z'!C37</f>
        <v>-11982465</v>
      </c>
      <c r="D42" s="131">
        <f>-'Anexo 5x-5z'!D37</f>
        <v>-38163197</v>
      </c>
    </row>
    <row r="43" spans="2:5">
      <c r="B43" s="130" t="s">
        <v>81</v>
      </c>
      <c r="C43" s="132">
        <v>13097698</v>
      </c>
      <c r="D43" s="409">
        <v>-855910.88</v>
      </c>
    </row>
    <row r="44" spans="2:5">
      <c r="B44" s="125" t="s">
        <v>84</v>
      </c>
      <c r="C44" s="126">
        <f>SUM(C33:C43)</f>
        <v>126002988</v>
      </c>
      <c r="D44" s="126">
        <f>SUM(D33:D43)</f>
        <v>349285437.42000008</v>
      </c>
    </row>
    <row r="45" spans="2:5">
      <c r="B45" s="134" t="s">
        <v>85</v>
      </c>
      <c r="C45" s="342">
        <v>0</v>
      </c>
      <c r="D45" s="133">
        <v>0</v>
      </c>
    </row>
    <row r="46" spans="2:5">
      <c r="B46" s="134" t="s">
        <v>86</v>
      </c>
      <c r="C46" s="342">
        <v>0</v>
      </c>
      <c r="D46" s="133">
        <v>0</v>
      </c>
    </row>
    <row r="47" spans="2:5">
      <c r="B47" s="125" t="s">
        <v>87</v>
      </c>
      <c r="C47" s="126">
        <f>+C44-C45-C46</f>
        <v>126002988</v>
      </c>
      <c r="D47" s="126">
        <f>+D44-D45-D46</f>
        <v>349285437.42000008</v>
      </c>
      <c r="E47" s="14"/>
    </row>
    <row r="49" spans="2:7">
      <c r="B49" s="4"/>
      <c r="C49" s="14"/>
      <c r="D49" s="4"/>
      <c r="F49" s="473"/>
      <c r="G49" s="473"/>
    </row>
    <row r="50" spans="2:7">
      <c r="B50" s="471" t="s">
        <v>388</v>
      </c>
      <c r="C50" s="471"/>
      <c r="D50" s="471"/>
      <c r="E50" s="471"/>
      <c r="F50" s="471"/>
    </row>
  </sheetData>
  <mergeCells count="3">
    <mergeCell ref="B4:D5"/>
    <mergeCell ref="F49:G49"/>
    <mergeCell ref="B50:F50"/>
  </mergeCells>
  <pageMargins left="0.70866141732283472" right="0.70866141732283472" top="1.3385826771653544"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4:P27"/>
  <sheetViews>
    <sheetView showGridLines="0" topLeftCell="A4" zoomScale="102" zoomScaleNormal="102" workbookViewId="0">
      <selection activeCell="K16" sqref="K16"/>
    </sheetView>
  </sheetViews>
  <sheetFormatPr baseColWidth="10" defaultColWidth="10.6640625" defaultRowHeight="14.4"/>
  <cols>
    <col min="1" max="1" width="4.6640625" customWidth="1"/>
    <col min="2" max="2" width="41.5546875" customWidth="1"/>
    <col min="3" max="3" width="16.44140625" customWidth="1"/>
    <col min="4" max="4" width="15" bestFit="1" customWidth="1"/>
    <col min="5" max="5" width="12.44140625" bestFit="1" customWidth="1"/>
    <col min="6" max="6" width="15" customWidth="1"/>
    <col min="7" max="7" width="16.6640625" customWidth="1"/>
    <col min="8" max="8" width="14.33203125" bestFit="1" customWidth="1"/>
    <col min="9" max="9" width="14.33203125" style="50" customWidth="1"/>
    <col min="10" max="10" width="14.33203125" bestFit="1" customWidth="1"/>
    <col min="11" max="11" width="15.44140625" customWidth="1"/>
    <col min="12" max="12" width="16.33203125" customWidth="1"/>
    <col min="13" max="13" width="15" bestFit="1" customWidth="1"/>
    <col min="14" max="14" width="14.33203125" bestFit="1" customWidth="1"/>
    <col min="15" max="16" width="13.5546875" bestFit="1" customWidth="1"/>
  </cols>
  <sheetData>
    <row r="4" spans="1:15" ht="15.6">
      <c r="B4" s="475" t="s">
        <v>118</v>
      </c>
      <c r="C4" s="475"/>
      <c r="D4" s="475"/>
      <c r="E4" s="475"/>
      <c r="F4" s="475"/>
      <c r="G4" s="475"/>
      <c r="H4" s="475"/>
      <c r="I4" s="475"/>
      <c r="J4" s="475"/>
      <c r="K4" s="475"/>
      <c r="L4" s="475"/>
      <c r="M4" s="475"/>
      <c r="N4" s="475"/>
    </row>
    <row r="5" spans="1:15" ht="15.6">
      <c r="A5" s="6"/>
      <c r="B5" s="476" t="s">
        <v>732</v>
      </c>
      <c r="C5" s="476"/>
      <c r="D5" s="476"/>
      <c r="E5" s="476"/>
      <c r="F5" s="476"/>
      <c r="G5" s="476"/>
      <c r="H5" s="476"/>
      <c r="I5" s="476"/>
      <c r="J5" s="476"/>
      <c r="K5" s="476"/>
      <c r="L5" s="476"/>
      <c r="M5" s="476"/>
      <c r="N5" s="476"/>
    </row>
    <row r="6" spans="1:15" ht="15.6">
      <c r="A6" s="6"/>
      <c r="B6" s="475" t="s">
        <v>119</v>
      </c>
      <c r="C6" s="475"/>
      <c r="D6" s="475"/>
      <c r="E6" s="475"/>
      <c r="F6" s="475"/>
      <c r="G6" s="475"/>
      <c r="H6" s="475"/>
      <c r="I6" s="475"/>
      <c r="J6" s="475"/>
      <c r="K6" s="475"/>
      <c r="L6" s="475"/>
      <c r="M6" s="475"/>
      <c r="N6" s="475"/>
    </row>
    <row r="7" spans="1:15" ht="15.6">
      <c r="A7" s="6"/>
      <c r="B7" s="35"/>
      <c r="C7" s="35"/>
      <c r="D7" s="35"/>
      <c r="E7" s="35"/>
      <c r="F7" s="35"/>
      <c r="G7" s="35"/>
      <c r="H7" s="35"/>
      <c r="I7" s="42"/>
      <c r="J7" s="35"/>
      <c r="K7" s="35"/>
      <c r="L7" s="35"/>
      <c r="M7" s="35"/>
      <c r="N7" s="35"/>
    </row>
    <row r="8" spans="1:15">
      <c r="B8" s="474" t="s">
        <v>120</v>
      </c>
      <c r="C8" s="474" t="s">
        <v>121</v>
      </c>
      <c r="D8" s="474"/>
      <c r="E8" s="474"/>
      <c r="F8" s="474"/>
      <c r="G8" s="474" t="s">
        <v>122</v>
      </c>
      <c r="H8" s="474"/>
      <c r="I8" s="474"/>
      <c r="J8" s="474"/>
      <c r="K8" s="474" t="s">
        <v>123</v>
      </c>
      <c r="L8" s="474"/>
      <c r="M8" s="474" t="s">
        <v>124</v>
      </c>
      <c r="N8" s="474"/>
    </row>
    <row r="9" spans="1:15">
      <c r="B9" s="474"/>
      <c r="C9" s="474" t="s">
        <v>125</v>
      </c>
      <c r="D9" s="474" t="s">
        <v>126</v>
      </c>
      <c r="E9" s="474" t="s">
        <v>127</v>
      </c>
      <c r="F9" s="474" t="s">
        <v>128</v>
      </c>
      <c r="G9" s="474" t="s">
        <v>129</v>
      </c>
      <c r="H9" s="474" t="s">
        <v>339</v>
      </c>
      <c r="I9" s="474" t="s">
        <v>358</v>
      </c>
      <c r="J9" s="474" t="s">
        <v>130</v>
      </c>
      <c r="K9" s="474" t="s">
        <v>132</v>
      </c>
      <c r="L9" s="474" t="s">
        <v>133</v>
      </c>
      <c r="M9" s="233" t="s">
        <v>134</v>
      </c>
      <c r="N9" s="474" t="s">
        <v>136</v>
      </c>
    </row>
    <row r="10" spans="1:15">
      <c r="B10" s="474"/>
      <c r="C10" s="474"/>
      <c r="D10" s="474"/>
      <c r="E10" s="474"/>
      <c r="F10" s="474"/>
      <c r="G10" s="474"/>
      <c r="H10" s="474"/>
      <c r="I10" s="474"/>
      <c r="J10" s="474"/>
      <c r="K10" s="474"/>
      <c r="L10" s="474"/>
      <c r="M10" s="233" t="s">
        <v>135</v>
      </c>
      <c r="N10" s="474"/>
      <c r="O10" s="14"/>
    </row>
    <row r="11" spans="1:15" s="316" customFormat="1">
      <c r="B11" s="72" t="s">
        <v>321</v>
      </c>
      <c r="C11" s="121">
        <v>0</v>
      </c>
      <c r="D11" s="121">
        <f>+'Balance General'!G45</f>
        <v>7000000</v>
      </c>
      <c r="E11" s="121">
        <f>+'Balance General'!G44</f>
        <v>9484301</v>
      </c>
      <c r="F11" s="121">
        <f>+'Balance General'!G43</f>
        <v>3332300000</v>
      </c>
      <c r="G11" s="121">
        <f>+'Balance General'!G48</f>
        <v>101070434</v>
      </c>
      <c r="H11" s="121">
        <f>+'Balance General'!G46</f>
        <v>700000000</v>
      </c>
      <c r="I11" s="121">
        <f>+'Balance General'!G49</f>
        <v>57662078</v>
      </c>
      <c r="J11" s="121">
        <f>+'Balance General'!G50</f>
        <v>10841802</v>
      </c>
      <c r="K11" s="121">
        <f>+'Balance General'!G52</f>
        <v>-1528230865</v>
      </c>
      <c r="L11" s="121">
        <f>+'Balance General'!G53</f>
        <v>126030604</v>
      </c>
      <c r="M11" s="121">
        <v>0</v>
      </c>
      <c r="N11" s="121">
        <f>SUM(C11:L11)</f>
        <v>2816158354</v>
      </c>
      <c r="O11" s="317"/>
    </row>
    <row r="12" spans="1:15" s="316" customFormat="1">
      <c r="B12" s="345" t="s">
        <v>138</v>
      </c>
      <c r="C12" s="350"/>
      <c r="D12" s="350"/>
      <c r="E12" s="351"/>
      <c r="F12" s="67"/>
      <c r="G12" s="67"/>
      <c r="H12" s="67"/>
      <c r="I12" s="67"/>
      <c r="J12" s="350"/>
      <c r="K12" s="67"/>
      <c r="L12" s="67"/>
      <c r="M12" s="121"/>
      <c r="N12" s="121"/>
    </row>
    <row r="13" spans="1:15" s="316" customFormat="1">
      <c r="B13" s="72" t="s">
        <v>131</v>
      </c>
      <c r="C13" s="122">
        <v>0</v>
      </c>
      <c r="D13" s="122">
        <f>+'Balance General'!F45-'Balance General'!G45</f>
        <v>0</v>
      </c>
      <c r="E13" s="122">
        <v>0</v>
      </c>
      <c r="F13" s="122">
        <f>+'Balance General'!F43-'Balance General'!G43</f>
        <v>0</v>
      </c>
      <c r="G13" s="123">
        <v>0</v>
      </c>
      <c r="H13" s="123">
        <v>0</v>
      </c>
      <c r="I13" s="123">
        <v>0</v>
      </c>
      <c r="J13" s="123">
        <v>0</v>
      </c>
      <c r="K13" s="123">
        <v>0</v>
      </c>
      <c r="L13" s="123">
        <v>0</v>
      </c>
      <c r="M13" s="121">
        <f>SUM(C13:L13)</f>
        <v>0</v>
      </c>
      <c r="N13" s="121">
        <v>0</v>
      </c>
    </row>
    <row r="14" spans="1:15" s="316" customFormat="1">
      <c r="B14" s="72" t="s">
        <v>139</v>
      </c>
      <c r="C14" s="123">
        <v>0</v>
      </c>
      <c r="D14" s="123">
        <v>0</v>
      </c>
      <c r="E14" s="123">
        <v>0</v>
      </c>
      <c r="F14" s="123">
        <v>0</v>
      </c>
      <c r="G14" s="124">
        <f>+'Balance General'!F48-'Balance General'!G48</f>
        <v>0</v>
      </c>
      <c r="H14" s="123">
        <v>0</v>
      </c>
      <c r="I14" s="123">
        <f>+'Balance General'!F49-'Balance General'!G49</f>
        <v>0</v>
      </c>
      <c r="J14" s="123">
        <v>0</v>
      </c>
      <c r="K14" s="123">
        <v>0</v>
      </c>
      <c r="L14" s="123">
        <v>0</v>
      </c>
      <c r="M14" s="121">
        <f t="shared" ref="M14:M18" si="0">SUM(C14:L14)</f>
        <v>0</v>
      </c>
      <c r="N14" s="121">
        <v>0</v>
      </c>
    </row>
    <row r="15" spans="1:15" s="316" customFormat="1">
      <c r="B15" s="72" t="s">
        <v>700</v>
      </c>
      <c r="C15" s="122">
        <v>0</v>
      </c>
      <c r="D15" s="122">
        <v>0</v>
      </c>
      <c r="E15" s="122">
        <v>0</v>
      </c>
      <c r="F15" s="122">
        <v>0</v>
      </c>
      <c r="G15" s="123">
        <v>0</v>
      </c>
      <c r="H15" s="123">
        <v>0</v>
      </c>
      <c r="I15" s="123">
        <v>0</v>
      </c>
      <c r="J15" s="123">
        <v>0</v>
      </c>
      <c r="K15" s="123">
        <f>+L11</f>
        <v>126030604</v>
      </c>
      <c r="L15" s="123">
        <f>-K15</f>
        <v>-126030604</v>
      </c>
      <c r="M15" s="121">
        <f t="shared" si="0"/>
        <v>0</v>
      </c>
      <c r="N15" s="121">
        <v>0</v>
      </c>
    </row>
    <row r="16" spans="1:15" s="316" customFormat="1">
      <c r="B16" s="72" t="s">
        <v>668</v>
      </c>
      <c r="C16" s="122">
        <v>0</v>
      </c>
      <c r="D16" s="122">
        <v>0</v>
      </c>
      <c r="E16" s="122">
        <v>0</v>
      </c>
      <c r="F16" s="122">
        <v>0</v>
      </c>
      <c r="G16" s="123">
        <v>0</v>
      </c>
      <c r="H16" s="123">
        <v>0</v>
      </c>
      <c r="I16" s="123">
        <v>0</v>
      </c>
      <c r="J16" s="123">
        <v>0</v>
      </c>
      <c r="K16" s="123">
        <f>(+'Balance General'!G52-'Balance General'!F52+'Balance General'!G53)*-1</f>
        <v>-126030604</v>
      </c>
      <c r="L16" s="123">
        <v>0</v>
      </c>
      <c r="M16" s="121">
        <f t="shared" si="0"/>
        <v>-126030604</v>
      </c>
      <c r="N16" s="121">
        <v>0</v>
      </c>
    </row>
    <row r="17" spans="2:16" s="316" customFormat="1">
      <c r="B17" s="72" t="s">
        <v>701</v>
      </c>
      <c r="C17" s="122">
        <v>0</v>
      </c>
      <c r="D17" s="122">
        <v>0</v>
      </c>
      <c r="E17" s="122">
        <v>0</v>
      </c>
      <c r="F17" s="122">
        <v>0</v>
      </c>
      <c r="G17" s="123">
        <v>0</v>
      </c>
      <c r="H17" s="123">
        <f>+'Balance General'!F46-'Balance General'!G46</f>
        <v>0</v>
      </c>
      <c r="I17" s="123">
        <v>0</v>
      </c>
      <c r="J17" s="123">
        <v>0</v>
      </c>
      <c r="K17" s="123">
        <v>0</v>
      </c>
      <c r="L17" s="123">
        <v>0</v>
      </c>
      <c r="M17" s="121">
        <f t="shared" si="0"/>
        <v>0</v>
      </c>
      <c r="N17" s="121">
        <v>0</v>
      </c>
    </row>
    <row r="18" spans="2:16" s="316" customFormat="1">
      <c r="B18" s="381" t="s">
        <v>322</v>
      </c>
      <c r="C18" s="382">
        <v>0</v>
      </c>
      <c r="D18" s="382">
        <v>0</v>
      </c>
      <c r="E18" s="382">
        <v>0</v>
      </c>
      <c r="F18" s="382">
        <v>0</v>
      </c>
      <c r="G18" s="380">
        <v>0</v>
      </c>
      <c r="H18" s="380">
        <v>0</v>
      </c>
      <c r="I18" s="380">
        <v>0</v>
      </c>
      <c r="J18" s="380">
        <v>0</v>
      </c>
      <c r="K18" s="383">
        <v>0</v>
      </c>
      <c r="L18" s="382">
        <f>+'Balance General'!F53</f>
        <v>126002988</v>
      </c>
      <c r="M18" s="380">
        <f t="shared" si="0"/>
        <v>126002988</v>
      </c>
      <c r="N18" s="380">
        <v>0</v>
      </c>
    </row>
    <row r="19" spans="2:16" s="316" customFormat="1">
      <c r="B19" s="384" t="s">
        <v>334</v>
      </c>
      <c r="C19" s="380">
        <f>SUM(C11:C18)</f>
        <v>0</v>
      </c>
      <c r="D19" s="380">
        <f t="shared" ref="D19:L19" si="1">SUM(D11:D18)</f>
        <v>7000000</v>
      </c>
      <c r="E19" s="380">
        <f t="shared" si="1"/>
        <v>9484301</v>
      </c>
      <c r="F19" s="380">
        <f t="shared" si="1"/>
        <v>3332300000</v>
      </c>
      <c r="G19" s="380">
        <f t="shared" si="1"/>
        <v>101070434</v>
      </c>
      <c r="H19" s="380">
        <f t="shared" si="1"/>
        <v>700000000</v>
      </c>
      <c r="I19" s="380">
        <f t="shared" si="1"/>
        <v>57662078</v>
      </c>
      <c r="J19" s="380">
        <f t="shared" si="1"/>
        <v>10841802</v>
      </c>
      <c r="K19" s="380">
        <f>SUM(K11:K18)</f>
        <v>-1528230865</v>
      </c>
      <c r="L19" s="380">
        <f t="shared" si="1"/>
        <v>126002988</v>
      </c>
      <c r="M19" s="380">
        <f>SUM(C19:L19)</f>
        <v>2816130738</v>
      </c>
      <c r="N19" s="380">
        <v>0</v>
      </c>
      <c r="O19" s="317"/>
      <c r="P19" s="317"/>
    </row>
    <row r="20" spans="2:16" s="316" customFormat="1">
      <c r="B20" s="384" t="s">
        <v>335</v>
      </c>
      <c r="C20" s="380">
        <f t="shared" ref="C20:H20" si="2">+C11</f>
        <v>0</v>
      </c>
      <c r="D20" s="380">
        <f t="shared" si="2"/>
        <v>7000000</v>
      </c>
      <c r="E20" s="385">
        <f t="shared" si="2"/>
        <v>9484301</v>
      </c>
      <c r="F20" s="385">
        <f t="shared" si="2"/>
        <v>3332300000</v>
      </c>
      <c r="G20" s="380">
        <f t="shared" si="2"/>
        <v>101070434</v>
      </c>
      <c r="H20" s="380">
        <f t="shared" si="2"/>
        <v>700000000</v>
      </c>
      <c r="I20" s="380">
        <v>0</v>
      </c>
      <c r="J20" s="380">
        <f>+J11</f>
        <v>10841802</v>
      </c>
      <c r="K20" s="380">
        <f>+K11</f>
        <v>-1528230865</v>
      </c>
      <c r="L20" s="380">
        <f>+L11</f>
        <v>126030604</v>
      </c>
      <c r="M20" s="380">
        <f>+M11</f>
        <v>0</v>
      </c>
      <c r="N20" s="380">
        <f>+N11</f>
        <v>2816158354</v>
      </c>
    </row>
    <row r="21" spans="2:16">
      <c r="F21" s="14"/>
    </row>
    <row r="22" spans="2:16">
      <c r="M22" s="14"/>
    </row>
    <row r="23" spans="2:16" ht="16.5" customHeight="1">
      <c r="B23" s="209" t="s">
        <v>388</v>
      </c>
      <c r="C23" s="210"/>
      <c r="D23" s="211"/>
      <c r="E23" s="210"/>
      <c r="F23" s="210"/>
      <c r="G23" s="210"/>
      <c r="H23" s="210"/>
    </row>
    <row r="24" spans="2:16">
      <c r="B24" s="25"/>
      <c r="C24" s="25"/>
      <c r="D24" s="25"/>
      <c r="E24" s="25"/>
      <c r="F24" s="25"/>
      <c r="G24" s="25"/>
      <c r="H24" s="25"/>
      <c r="I24" s="25"/>
      <c r="J24" s="25"/>
      <c r="K24" s="25"/>
      <c r="L24" s="25"/>
      <c r="M24" s="25"/>
    </row>
    <row r="25" spans="2:16">
      <c r="B25" s="25"/>
      <c r="C25" s="25"/>
      <c r="D25" s="25"/>
      <c r="E25" s="25"/>
      <c r="F25" s="25"/>
      <c r="G25" s="25"/>
      <c r="H25" s="25"/>
      <c r="I25" s="25"/>
      <c r="J25" s="25"/>
      <c r="K25" s="25"/>
      <c r="L25" s="25"/>
      <c r="M25" s="25"/>
    </row>
    <row r="26" spans="2:16">
      <c r="B26" s="25"/>
      <c r="C26" s="25"/>
      <c r="D26" s="25"/>
      <c r="E26" s="25"/>
      <c r="F26" s="25"/>
      <c r="G26" s="25"/>
      <c r="H26" s="25"/>
      <c r="I26" s="25"/>
      <c r="J26" s="25"/>
      <c r="K26" s="25"/>
      <c r="L26" s="25"/>
      <c r="M26" s="25"/>
    </row>
    <row r="27" spans="2:16">
      <c r="B27" s="25"/>
      <c r="C27" s="25"/>
      <c r="D27" s="25"/>
      <c r="E27" s="25"/>
      <c r="F27" s="25"/>
      <c r="G27" s="25"/>
      <c r="H27" s="25"/>
      <c r="I27" s="25"/>
      <c r="J27" s="25"/>
      <c r="K27" s="25"/>
      <c r="L27" s="25"/>
      <c r="M27" s="25"/>
    </row>
  </sheetData>
  <mergeCells count="19">
    <mergeCell ref="H9:H10"/>
    <mergeCell ref="J9:J10"/>
    <mergeCell ref="N9:N10"/>
    <mergeCell ref="K9:K10"/>
    <mergeCell ref="L9:L10"/>
    <mergeCell ref="I9:I10"/>
    <mergeCell ref="B4:N4"/>
    <mergeCell ref="B5:N5"/>
    <mergeCell ref="B6:N6"/>
    <mergeCell ref="B8:B10"/>
    <mergeCell ref="C8:F8"/>
    <mergeCell ref="G8:J8"/>
    <mergeCell ref="K8:L8"/>
    <mergeCell ref="M8:N8"/>
    <mergeCell ref="C9:C10"/>
    <mergeCell ref="D9:D10"/>
    <mergeCell ref="E9:E10"/>
    <mergeCell ref="F9:F10"/>
    <mergeCell ref="G9:G1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4:F47"/>
  <sheetViews>
    <sheetView showGridLines="0" topLeftCell="A16" zoomScale="102" zoomScaleNormal="102" workbookViewId="0">
      <selection activeCell="C44" sqref="C44"/>
    </sheetView>
  </sheetViews>
  <sheetFormatPr baseColWidth="10" defaultColWidth="10.6640625" defaultRowHeight="14.4"/>
  <cols>
    <col min="2" max="2" width="74.6640625" bestFit="1" customWidth="1"/>
    <col min="3" max="3" width="14.5546875" bestFit="1" customWidth="1"/>
    <col min="4" max="4" width="16.5546875" customWidth="1"/>
    <col min="5" max="5" width="13.6640625" customWidth="1"/>
    <col min="7" max="7" width="15.33203125" customWidth="1"/>
  </cols>
  <sheetData>
    <row r="4" spans="2:6">
      <c r="B4" s="478" t="s">
        <v>88</v>
      </c>
      <c r="C4" s="478"/>
      <c r="D4" s="478"/>
    </row>
    <row r="5" spans="2:6">
      <c r="B5" s="477" t="s">
        <v>761</v>
      </c>
      <c r="C5" s="477"/>
      <c r="D5" s="477"/>
    </row>
    <row r="6" spans="2:6">
      <c r="B6" s="478" t="s">
        <v>89</v>
      </c>
      <c r="C6" s="478"/>
      <c r="D6" s="478"/>
    </row>
    <row r="9" spans="2:6" ht="24">
      <c r="B9" s="247"/>
      <c r="C9" s="234" t="s">
        <v>47</v>
      </c>
      <c r="D9" s="248" t="s">
        <v>48</v>
      </c>
      <c r="E9" s="3"/>
    </row>
    <row r="10" spans="2:6">
      <c r="B10" s="104" t="s">
        <v>90</v>
      </c>
      <c r="C10" s="105"/>
      <c r="D10" s="105"/>
      <c r="E10" s="3"/>
    </row>
    <row r="11" spans="2:6">
      <c r="B11" s="106" t="s">
        <v>91</v>
      </c>
      <c r="C11" s="107">
        <v>360352640</v>
      </c>
      <c r="D11" s="107">
        <v>690586025.65000033</v>
      </c>
      <c r="E11" s="3"/>
    </row>
    <row r="12" spans="2:6">
      <c r="B12" s="106" t="s">
        <v>92</v>
      </c>
      <c r="C12" s="107">
        <v>-149434418</v>
      </c>
      <c r="D12" s="107">
        <v>-155707427.53999999</v>
      </c>
      <c r="E12" s="3"/>
    </row>
    <row r="13" spans="2:6">
      <c r="B13" s="106" t="s">
        <v>93</v>
      </c>
      <c r="C13" s="107">
        <v>145572222</v>
      </c>
      <c r="D13" s="107">
        <v>-300204028.29999989</v>
      </c>
      <c r="E13" s="3"/>
    </row>
    <row r="14" spans="2:6">
      <c r="B14" s="479" t="s">
        <v>94</v>
      </c>
      <c r="C14" s="480">
        <f>SUM(C11:C13)</f>
        <v>356490444</v>
      </c>
      <c r="D14" s="480">
        <f>SUM(D11:D13)</f>
        <v>234674569.81000048</v>
      </c>
      <c r="E14" s="3"/>
    </row>
    <row r="15" spans="2:6">
      <c r="B15" s="479"/>
      <c r="C15" s="480"/>
      <c r="D15" s="480"/>
      <c r="E15" s="3"/>
      <c r="F15" s="3"/>
    </row>
    <row r="16" spans="2:6">
      <c r="B16" s="108" t="s">
        <v>95</v>
      </c>
      <c r="C16" s="109"/>
      <c r="D16" s="226"/>
      <c r="E16" s="3"/>
    </row>
    <row r="17" spans="2:5">
      <c r="B17" s="106" t="s">
        <v>96</v>
      </c>
      <c r="C17" s="107">
        <v>0</v>
      </c>
      <c r="D17" s="107">
        <v>0</v>
      </c>
      <c r="E17" s="3"/>
    </row>
    <row r="18" spans="2:5">
      <c r="B18" s="108" t="s">
        <v>97</v>
      </c>
      <c r="C18" s="112"/>
      <c r="D18" s="333"/>
      <c r="E18" s="3"/>
    </row>
    <row r="19" spans="2:5">
      <c r="B19" s="106" t="s">
        <v>98</v>
      </c>
      <c r="C19" s="107">
        <v>-42245608</v>
      </c>
      <c r="D19" s="107">
        <v>-55034865.689999998</v>
      </c>
      <c r="E19" s="3"/>
    </row>
    <row r="20" spans="2:5">
      <c r="B20" s="108" t="s">
        <v>99</v>
      </c>
      <c r="C20" s="110"/>
      <c r="D20" s="107"/>
      <c r="E20" s="3"/>
    </row>
    <row r="21" spans="2:5">
      <c r="B21" s="106" t="s">
        <v>340</v>
      </c>
      <c r="C21" s="107">
        <v>0</v>
      </c>
      <c r="D21" s="107">
        <v>-22258075.959999993</v>
      </c>
      <c r="E21" s="3"/>
    </row>
    <row r="22" spans="2:5">
      <c r="B22" s="108" t="s">
        <v>100</v>
      </c>
      <c r="C22" s="386">
        <f>SUM(C14:C21)</f>
        <v>314244836</v>
      </c>
      <c r="D22" s="386">
        <f>SUM(D14:D21)</f>
        <v>157381628.1600005</v>
      </c>
      <c r="E22" s="369"/>
    </row>
    <row r="23" spans="2:5">
      <c r="B23" s="104" t="s">
        <v>101</v>
      </c>
      <c r="C23" s="105"/>
      <c r="D23" s="334"/>
      <c r="E23" s="3"/>
    </row>
    <row r="24" spans="2:5">
      <c r="B24" s="106" t="s">
        <v>102</v>
      </c>
      <c r="C24" s="107">
        <v>0</v>
      </c>
      <c r="D24" s="107">
        <v>-102750926</v>
      </c>
      <c r="E24" s="3"/>
    </row>
    <row r="25" spans="2:5">
      <c r="B25" s="106" t="s">
        <v>103</v>
      </c>
      <c r="C25" s="107">
        <v>-15204992</v>
      </c>
      <c r="D25" s="107">
        <v>-139357374</v>
      </c>
      <c r="E25" s="3"/>
    </row>
    <row r="26" spans="2:5">
      <c r="B26" s="106" t="s">
        <v>104</v>
      </c>
      <c r="C26" s="107">
        <v>0</v>
      </c>
      <c r="D26" s="107">
        <v>0</v>
      </c>
      <c r="E26" s="3"/>
    </row>
    <row r="27" spans="2:5">
      <c r="B27" s="106" t="s">
        <v>338</v>
      </c>
      <c r="C27" s="107">
        <v>-19483835.77531743</v>
      </c>
      <c r="D27" s="107">
        <v>-1718181.8199999928</v>
      </c>
      <c r="E27" s="3"/>
    </row>
    <row r="28" spans="2:5" s="50" customFormat="1">
      <c r="B28" s="106" t="s">
        <v>688</v>
      </c>
      <c r="C28" s="107">
        <v>-19591037</v>
      </c>
      <c r="D28" s="107">
        <v>0</v>
      </c>
      <c r="E28" s="3"/>
    </row>
    <row r="29" spans="2:5" ht="15.75" customHeight="1">
      <c r="B29" s="106" t="s">
        <v>105</v>
      </c>
      <c r="C29" s="107">
        <v>0</v>
      </c>
      <c r="D29" s="107">
        <v>0</v>
      </c>
      <c r="E29" s="3"/>
    </row>
    <row r="30" spans="2:5">
      <c r="B30" s="106" t="s">
        <v>106</v>
      </c>
      <c r="C30" s="107">
        <v>11983265</v>
      </c>
      <c r="D30" s="107">
        <v>0</v>
      </c>
      <c r="E30" s="3"/>
    </row>
    <row r="31" spans="2:5">
      <c r="B31" s="106" t="s">
        <v>107</v>
      </c>
      <c r="C31" s="107">
        <v>14451670</v>
      </c>
      <c r="D31" s="107">
        <v>0</v>
      </c>
      <c r="E31" s="3"/>
    </row>
    <row r="32" spans="2:5">
      <c r="B32" s="108" t="s">
        <v>108</v>
      </c>
      <c r="C32" s="111">
        <f>SUM(C24:C31)</f>
        <v>-27844929.77531743</v>
      </c>
      <c r="D32" s="226">
        <f>SUM(D24:D31)</f>
        <v>-243826481.81999999</v>
      </c>
      <c r="E32" s="3"/>
    </row>
    <row r="33" spans="2:5">
      <c r="B33" s="104" t="s">
        <v>109</v>
      </c>
      <c r="C33" s="105"/>
      <c r="D33" s="334"/>
      <c r="E33" s="3"/>
    </row>
    <row r="34" spans="2:5">
      <c r="B34" s="106" t="s">
        <v>110</v>
      </c>
      <c r="C34" s="107">
        <v>0</v>
      </c>
      <c r="D34" s="107">
        <v>57662078</v>
      </c>
      <c r="E34" s="3"/>
    </row>
    <row r="35" spans="2:5">
      <c r="B35" s="106" t="s">
        <v>111</v>
      </c>
      <c r="C35" s="113">
        <v>-226877013</v>
      </c>
      <c r="D35" s="107">
        <v>-58785599</v>
      </c>
      <c r="E35" s="3"/>
    </row>
    <row r="36" spans="2:5" hidden="1">
      <c r="B36" s="106" t="s">
        <v>112</v>
      </c>
      <c r="C36" s="110">
        <v>0</v>
      </c>
      <c r="D36" s="107">
        <v>0</v>
      </c>
      <c r="E36" s="3"/>
    </row>
    <row r="37" spans="2:5">
      <c r="B37" s="106" t="s">
        <v>113</v>
      </c>
      <c r="C37" s="113">
        <v>-11982465</v>
      </c>
      <c r="D37" s="107">
        <v>0</v>
      </c>
      <c r="E37" s="3"/>
    </row>
    <row r="38" spans="2:5" s="50" customFormat="1">
      <c r="B38" s="106" t="s">
        <v>687</v>
      </c>
      <c r="C38" s="113">
        <v>-124050542</v>
      </c>
      <c r="D38" s="107">
        <v>0</v>
      </c>
      <c r="E38" s="3"/>
    </row>
    <row r="39" spans="2:5">
      <c r="B39" s="108" t="s">
        <v>114</v>
      </c>
      <c r="C39" s="111">
        <f>SUM(C34:C38)</f>
        <v>-362910020</v>
      </c>
      <c r="D39" s="226">
        <f>SUM(D34:D38)</f>
        <v>-1123521</v>
      </c>
      <c r="E39" s="3"/>
    </row>
    <row r="40" spans="2:5">
      <c r="B40" s="108" t="s">
        <v>344</v>
      </c>
      <c r="C40" s="139">
        <v>0</v>
      </c>
      <c r="D40" s="226">
        <v>3832814</v>
      </c>
      <c r="E40" s="3"/>
    </row>
    <row r="41" spans="2:5">
      <c r="B41" s="108" t="s">
        <v>115</v>
      </c>
      <c r="C41" s="226">
        <f>+C22+C32+C39+C40</f>
        <v>-76510113.77531743</v>
      </c>
      <c r="D41" s="349">
        <f>+D22+D32+D39+D40</f>
        <v>-83735560.65999949</v>
      </c>
      <c r="E41" s="3"/>
    </row>
    <row r="42" spans="2:5">
      <c r="B42" s="108" t="s">
        <v>116</v>
      </c>
      <c r="C42" s="349">
        <v>666317467.10999775</v>
      </c>
      <c r="D42" s="349">
        <v>542122325</v>
      </c>
      <c r="E42" s="3"/>
    </row>
    <row r="43" spans="2:5">
      <c r="B43" s="108" t="s">
        <v>117</v>
      </c>
      <c r="C43" s="349">
        <f>+C41+C42</f>
        <v>589807353.33468032</v>
      </c>
      <c r="D43" s="368">
        <f>+D41+D42</f>
        <v>458386764.34000051</v>
      </c>
      <c r="E43" s="341"/>
    </row>
    <row r="44" spans="2:5">
      <c r="C44" s="14"/>
    </row>
    <row r="45" spans="2:5">
      <c r="B45" s="209" t="s">
        <v>388</v>
      </c>
      <c r="C45" s="210"/>
      <c r="D45" s="211"/>
      <c r="E45" s="208"/>
    </row>
    <row r="47" spans="2:5">
      <c r="C47" s="14"/>
      <c r="D47" s="14"/>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4:F41"/>
  <sheetViews>
    <sheetView showGridLines="0" topLeftCell="A31" zoomScale="102" zoomScaleNormal="102" workbookViewId="0">
      <selection activeCell="B9" sqref="B9"/>
    </sheetView>
  </sheetViews>
  <sheetFormatPr baseColWidth="10" defaultColWidth="10.6640625" defaultRowHeight="14.4"/>
  <cols>
    <col min="1" max="1" width="5" style="114" customWidth="1"/>
    <col min="2" max="2" width="89.33203125" customWidth="1"/>
    <col min="4" max="4" width="15.44140625" customWidth="1"/>
  </cols>
  <sheetData>
    <row r="4" spans="1:2">
      <c r="A4" s="50"/>
      <c r="B4" s="244" t="s">
        <v>140</v>
      </c>
    </row>
    <row r="5" spans="1:2" s="50" customFormat="1" ht="9.6" customHeight="1"/>
    <row r="6" spans="1:2">
      <c r="A6" s="245" t="s">
        <v>141</v>
      </c>
      <c r="B6" s="7" t="s">
        <v>456</v>
      </c>
    </row>
    <row r="7" spans="1:2">
      <c r="A7" s="8"/>
      <c r="B7" s="50"/>
    </row>
    <row r="8" spans="1:2" ht="43.2">
      <c r="A8" s="50"/>
      <c r="B8" s="8" t="s">
        <v>764</v>
      </c>
    </row>
    <row r="9" spans="1:2" ht="4.95" customHeight="1">
      <c r="A9" s="50"/>
      <c r="B9" s="246" t="s">
        <v>375</v>
      </c>
    </row>
    <row r="10" spans="1:2">
      <c r="A10" s="50"/>
      <c r="B10" s="50"/>
    </row>
    <row r="11" spans="1:2">
      <c r="A11" s="245" t="s">
        <v>142</v>
      </c>
      <c r="B11" s="7" t="s">
        <v>457</v>
      </c>
    </row>
    <row r="12" spans="1:2">
      <c r="A12" s="50"/>
      <c r="B12" s="50"/>
    </row>
    <row r="13" spans="1:2">
      <c r="A13" s="50"/>
      <c r="B13" s="245" t="s">
        <v>143</v>
      </c>
    </row>
    <row r="14" spans="1:2" ht="28.8">
      <c r="A14" s="50"/>
      <c r="B14" s="245" t="s">
        <v>458</v>
      </c>
    </row>
    <row r="15" spans="1:2" ht="86.4">
      <c r="A15" s="50"/>
      <c r="B15" s="8" t="s">
        <v>459</v>
      </c>
    </row>
    <row r="16" spans="1:2" ht="28.8">
      <c r="A16" s="50"/>
      <c r="B16" s="8" t="s">
        <v>144</v>
      </c>
    </row>
    <row r="17" spans="1:2" ht="72">
      <c r="A17" s="50"/>
      <c r="B17" s="8" t="s">
        <v>145</v>
      </c>
    </row>
    <row r="18" spans="1:2">
      <c r="A18" s="50"/>
      <c r="B18" s="50"/>
    </row>
    <row r="19" spans="1:2">
      <c r="A19" s="50"/>
      <c r="B19" s="245" t="s">
        <v>146</v>
      </c>
    </row>
    <row r="20" spans="1:2">
      <c r="A20" s="50"/>
      <c r="B20" s="8" t="s">
        <v>460</v>
      </c>
    </row>
    <row r="21" spans="1:2" ht="47.7" customHeight="1">
      <c r="A21" s="50"/>
      <c r="B21" s="50"/>
    </row>
    <row r="22" spans="1:2">
      <c r="A22" s="50"/>
      <c r="B22" s="50"/>
    </row>
    <row r="23" spans="1:2">
      <c r="A23" s="245" t="s">
        <v>147</v>
      </c>
      <c r="B23" s="7" t="s">
        <v>461</v>
      </c>
    </row>
    <row r="24" spans="1:2" ht="43.2">
      <c r="A24" s="50"/>
      <c r="B24" s="399" t="s">
        <v>759</v>
      </c>
    </row>
    <row r="25" spans="1:2">
      <c r="A25" s="50"/>
      <c r="B25" s="50"/>
    </row>
    <row r="26" spans="1:2" ht="115.2">
      <c r="A26" s="50"/>
      <c r="B26" s="8" t="s">
        <v>462</v>
      </c>
    </row>
    <row r="27" spans="1:2">
      <c r="A27" s="50"/>
      <c r="B27" s="50"/>
    </row>
    <row r="28" spans="1:2" ht="28.8">
      <c r="A28" s="50"/>
      <c r="B28" s="8" t="s">
        <v>463</v>
      </c>
    </row>
    <row r="29" spans="1:2">
      <c r="A29" s="50"/>
      <c r="B29" s="8" t="s">
        <v>148</v>
      </c>
    </row>
    <row r="30" spans="1:2">
      <c r="A30" s="50"/>
      <c r="B30" s="50"/>
    </row>
    <row r="31" spans="1:2" ht="28.8">
      <c r="A31" s="50"/>
      <c r="B31" s="8" t="s">
        <v>464</v>
      </c>
    </row>
    <row r="32" spans="1:2">
      <c r="A32" s="50"/>
      <c r="B32" s="8"/>
    </row>
    <row r="33" spans="1:6" ht="72">
      <c r="A33" s="50"/>
      <c r="B33" s="8" t="s">
        <v>149</v>
      </c>
    </row>
    <row r="34" spans="1:6">
      <c r="A34" s="50"/>
      <c r="B34" s="50"/>
    </row>
    <row r="35" spans="1:6">
      <c r="A35" s="50"/>
      <c r="B35" s="8" t="s">
        <v>150</v>
      </c>
    </row>
    <row r="36" spans="1:6">
      <c r="A36" s="50"/>
      <c r="B36" s="50"/>
    </row>
    <row r="37" spans="1:6">
      <c r="A37" s="245" t="s">
        <v>151</v>
      </c>
      <c r="B37" s="7" t="s">
        <v>465</v>
      </c>
    </row>
    <row r="38" spans="1:6">
      <c r="A38" s="50"/>
      <c r="B38" s="8" t="s">
        <v>750</v>
      </c>
    </row>
    <row r="40" spans="1:6">
      <c r="B40" s="5"/>
      <c r="C40" s="53"/>
      <c r="D40" s="481"/>
      <c r="E40" s="481"/>
      <c r="F40" s="481"/>
    </row>
    <row r="41" spans="1:6">
      <c r="B41" s="5"/>
      <c r="C41" s="52"/>
      <c r="D41" s="473"/>
      <c r="E41" s="473"/>
      <c r="F41" s="473"/>
    </row>
  </sheetData>
  <mergeCells count="2">
    <mergeCell ref="D40:F40"/>
    <mergeCell ref="D41:F41"/>
  </mergeCells>
  <pageMargins left="0.70866141732283472" right="0.70866141732283472" top="1.3385826771653544"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3:J44"/>
  <sheetViews>
    <sheetView showGridLines="0" topLeftCell="A16" zoomScale="102" zoomScaleNormal="102" workbookViewId="0">
      <selection activeCell="E43" sqref="E43"/>
    </sheetView>
  </sheetViews>
  <sheetFormatPr baseColWidth="10" defaultColWidth="10.6640625" defaultRowHeight="14.4"/>
  <cols>
    <col min="1" max="1" width="7" customWidth="1"/>
    <col min="2" max="2" width="37.44140625" bestFit="1" customWidth="1"/>
    <col min="3" max="3" width="17.33203125" customWidth="1"/>
    <col min="4" max="4" width="19.44140625" customWidth="1"/>
    <col min="5" max="5" width="15" customWidth="1"/>
    <col min="6" max="6" width="14" customWidth="1"/>
    <col min="9" max="9" width="16.5546875" customWidth="1"/>
    <col min="10" max="10" width="11.6640625" bestFit="1" customWidth="1"/>
  </cols>
  <sheetData>
    <row r="3" spans="1:5" s="50" customFormat="1"/>
    <row r="4" spans="1:5">
      <c r="A4" s="175" t="s">
        <v>440</v>
      </c>
      <c r="B4" s="186" t="s">
        <v>428</v>
      </c>
      <c r="C4" s="187"/>
      <c r="D4" s="187"/>
      <c r="E4" s="187"/>
    </row>
    <row r="5" spans="1:5">
      <c r="B5" s="186" t="s">
        <v>152</v>
      </c>
      <c r="C5" s="187"/>
      <c r="D5" s="187"/>
      <c r="E5" s="187"/>
    </row>
    <row r="6" spans="1:5" ht="37.5" customHeight="1">
      <c r="B6" s="482" t="s">
        <v>153</v>
      </c>
      <c r="C6" s="482"/>
      <c r="D6" s="482"/>
      <c r="E6" s="482"/>
    </row>
    <row r="8" spans="1:5">
      <c r="B8" s="483"/>
      <c r="C8" s="233" t="s">
        <v>154</v>
      </c>
      <c r="D8" s="233" t="s">
        <v>156</v>
      </c>
    </row>
    <row r="9" spans="1:5" ht="12.6" customHeight="1">
      <c r="B9" s="483"/>
      <c r="C9" s="233" t="s">
        <v>155</v>
      </c>
      <c r="D9" s="233" t="s">
        <v>157</v>
      </c>
    </row>
    <row r="10" spans="1:5">
      <c r="B10" s="60" t="s">
        <v>158</v>
      </c>
      <c r="C10" s="92">
        <v>6837.9</v>
      </c>
      <c r="D10" s="93">
        <v>6870.81</v>
      </c>
    </row>
    <row r="11" spans="1:5">
      <c r="B11" s="60" t="s">
        <v>159</v>
      </c>
      <c r="C11" s="92">
        <v>6850.05</v>
      </c>
      <c r="D11" s="93">
        <v>6887.4</v>
      </c>
    </row>
    <row r="13" spans="1:5">
      <c r="B13" s="186" t="s">
        <v>160</v>
      </c>
    </row>
    <row r="14" spans="1:5">
      <c r="B14" s="187"/>
    </row>
    <row r="15" spans="1:5">
      <c r="B15" s="489" t="s">
        <v>161</v>
      </c>
      <c r="C15" s="489"/>
    </row>
    <row r="17" spans="2:10" ht="15" customHeight="1">
      <c r="B17" s="485" t="s">
        <v>162</v>
      </c>
      <c r="C17" s="485" t="s">
        <v>163</v>
      </c>
      <c r="D17" s="485" t="s">
        <v>164</v>
      </c>
      <c r="E17" s="484" t="s">
        <v>165</v>
      </c>
      <c r="F17" s="484" t="s">
        <v>166</v>
      </c>
      <c r="G17" s="484" t="s">
        <v>324</v>
      </c>
      <c r="H17" s="484" t="s">
        <v>167</v>
      </c>
      <c r="I17" s="484" t="s">
        <v>323</v>
      </c>
    </row>
    <row r="18" spans="2:10">
      <c r="B18" s="486"/>
      <c r="C18" s="486"/>
      <c r="D18" s="486"/>
      <c r="E18" s="484"/>
      <c r="F18" s="484"/>
      <c r="G18" s="484"/>
      <c r="H18" s="484"/>
      <c r="I18" s="484"/>
    </row>
    <row r="19" spans="2:10">
      <c r="B19" s="487"/>
      <c r="C19" s="487"/>
      <c r="D19" s="487"/>
      <c r="E19" s="484"/>
      <c r="F19" s="484"/>
      <c r="G19" s="484"/>
      <c r="H19" s="484"/>
      <c r="I19" s="484"/>
    </row>
    <row r="20" spans="2:10">
      <c r="B20" s="94" t="s">
        <v>168</v>
      </c>
      <c r="C20" s="95"/>
      <c r="D20" s="141"/>
      <c r="E20" s="95"/>
      <c r="F20" s="95"/>
      <c r="G20" s="95"/>
      <c r="H20" s="95"/>
      <c r="I20" s="95"/>
    </row>
    <row r="21" spans="2:10">
      <c r="B21" s="96" t="s">
        <v>169</v>
      </c>
      <c r="C21" s="95"/>
      <c r="D21" s="141"/>
      <c r="E21" s="95"/>
      <c r="F21" s="95"/>
      <c r="G21" s="95"/>
      <c r="H21" s="95"/>
      <c r="I21" s="95"/>
    </row>
    <row r="22" spans="2:10">
      <c r="B22" s="97" t="s">
        <v>620</v>
      </c>
      <c r="C22" s="98" t="s">
        <v>359</v>
      </c>
      <c r="D22" s="93">
        <v>37098.44</v>
      </c>
      <c r="E22" s="93">
        <f t="shared" ref="E22:E28" si="0">+$C$10</f>
        <v>6837.9</v>
      </c>
      <c r="F22" s="99">
        <f t="shared" ref="F22:F28" si="1">+D22*E22</f>
        <v>253675422.87600002</v>
      </c>
      <c r="G22" s="98">
        <v>629.32000000000005</v>
      </c>
      <c r="H22" s="93">
        <f>+$D$10</f>
        <v>6870.81</v>
      </c>
      <c r="I22" s="99">
        <f t="shared" ref="I22:I30" si="2">+G22*H22</f>
        <v>4323938.1492000008</v>
      </c>
      <c r="J22" s="14"/>
    </row>
    <row r="23" spans="2:10">
      <c r="B23" s="140" t="s">
        <v>621</v>
      </c>
      <c r="C23" s="98" t="s">
        <v>359</v>
      </c>
      <c r="D23" s="93">
        <v>0</v>
      </c>
      <c r="E23" s="93">
        <f t="shared" si="0"/>
        <v>6837.9</v>
      </c>
      <c r="F23" s="99">
        <f t="shared" si="1"/>
        <v>0</v>
      </c>
      <c r="G23" s="98">
        <v>100</v>
      </c>
      <c r="H23" s="93">
        <f t="shared" ref="H23:H28" si="3">+$D$10</f>
        <v>6870.81</v>
      </c>
      <c r="I23" s="99">
        <f t="shared" si="2"/>
        <v>687081</v>
      </c>
      <c r="J23" s="14"/>
    </row>
    <row r="24" spans="2:10">
      <c r="B24" s="97" t="s">
        <v>622</v>
      </c>
      <c r="C24" s="98" t="s">
        <v>359</v>
      </c>
      <c r="D24" s="98">
        <v>32671.21</v>
      </c>
      <c r="E24" s="93">
        <f t="shared" si="0"/>
        <v>6837.9</v>
      </c>
      <c r="F24" s="99">
        <f t="shared" si="1"/>
        <v>223402466.85899997</v>
      </c>
      <c r="G24" s="98">
        <v>32671.21</v>
      </c>
      <c r="H24" s="93">
        <f t="shared" si="3"/>
        <v>6870.81</v>
      </c>
      <c r="I24" s="99">
        <f t="shared" si="2"/>
        <v>224477676.38010001</v>
      </c>
    </row>
    <row r="25" spans="2:10" s="50" customFormat="1">
      <c r="B25" s="97" t="s">
        <v>763</v>
      </c>
      <c r="C25" s="98" t="s">
        <v>359</v>
      </c>
      <c r="D25" s="98">
        <v>100.1</v>
      </c>
      <c r="E25" s="93">
        <f t="shared" si="0"/>
        <v>6837.9</v>
      </c>
      <c r="F25" s="99">
        <f t="shared" si="1"/>
        <v>684473.78999999992</v>
      </c>
      <c r="G25" s="98">
        <v>0</v>
      </c>
      <c r="H25" s="93">
        <f t="shared" si="3"/>
        <v>6870.81</v>
      </c>
      <c r="I25" s="99">
        <f t="shared" si="2"/>
        <v>0</v>
      </c>
    </row>
    <row r="26" spans="2:10" s="50" customFormat="1">
      <c r="B26" s="97" t="s">
        <v>623</v>
      </c>
      <c r="C26" s="98" t="s">
        <v>359</v>
      </c>
      <c r="D26" s="93">
        <v>41551.620000000003</v>
      </c>
      <c r="E26" s="93">
        <f t="shared" si="0"/>
        <v>6837.9</v>
      </c>
      <c r="F26" s="99">
        <f t="shared" si="1"/>
        <v>284125822.398</v>
      </c>
      <c r="G26" s="98">
        <v>73000</v>
      </c>
      <c r="H26" s="93">
        <f t="shared" si="3"/>
        <v>6870.81</v>
      </c>
      <c r="I26" s="99">
        <f t="shared" si="2"/>
        <v>501569130</v>
      </c>
    </row>
    <row r="27" spans="2:10" s="50" customFormat="1">
      <c r="B27" s="97" t="s">
        <v>624</v>
      </c>
      <c r="C27" s="98" t="s">
        <v>359</v>
      </c>
      <c r="D27" s="93">
        <v>506.36</v>
      </c>
      <c r="E27" s="93">
        <f t="shared" si="0"/>
        <v>6837.9</v>
      </c>
      <c r="F27" s="99">
        <f t="shared" si="1"/>
        <v>3462439.0439999998</v>
      </c>
      <c r="G27" s="98">
        <v>31941</v>
      </c>
      <c r="H27" s="93">
        <f t="shared" si="3"/>
        <v>6870.81</v>
      </c>
      <c r="I27" s="99">
        <f t="shared" si="2"/>
        <v>219460542.21000001</v>
      </c>
    </row>
    <row r="28" spans="2:10" s="50" customFormat="1">
      <c r="B28" s="97" t="s">
        <v>625</v>
      </c>
      <c r="C28" s="98" t="s">
        <v>359</v>
      </c>
      <c r="D28" s="93">
        <v>0</v>
      </c>
      <c r="E28" s="93">
        <f t="shared" si="0"/>
        <v>6837.9</v>
      </c>
      <c r="F28" s="99">
        <f t="shared" si="1"/>
        <v>0</v>
      </c>
      <c r="G28" s="98">
        <v>-31797</v>
      </c>
      <c r="H28" s="93">
        <f t="shared" si="3"/>
        <v>6870.81</v>
      </c>
      <c r="I28" s="99">
        <f t="shared" si="2"/>
        <v>-218471145.57000002</v>
      </c>
    </row>
    <row r="29" spans="2:10" s="50" customFormat="1">
      <c r="B29" s="96" t="s">
        <v>383</v>
      </c>
      <c r="C29" s="98"/>
      <c r="D29" s="93"/>
      <c r="E29" s="93"/>
      <c r="F29" s="99"/>
      <c r="G29" s="98"/>
      <c r="H29" s="93"/>
      <c r="I29" s="99"/>
    </row>
    <row r="30" spans="2:10" s="50" customFormat="1">
      <c r="B30" s="97" t="s">
        <v>626</v>
      </c>
      <c r="C30" s="98" t="s">
        <v>359</v>
      </c>
      <c r="D30" s="93">
        <v>0</v>
      </c>
      <c r="E30" s="93">
        <f>+C11</f>
        <v>6850.05</v>
      </c>
      <c r="F30" s="99">
        <f>+D30*E30</f>
        <v>0</v>
      </c>
      <c r="G30" s="98"/>
      <c r="H30" s="93"/>
      <c r="I30" s="99">
        <f t="shared" si="2"/>
        <v>0</v>
      </c>
    </row>
    <row r="31" spans="2:10">
      <c r="B31" s="97"/>
      <c r="C31" s="98"/>
      <c r="D31" s="93"/>
      <c r="E31" s="93"/>
      <c r="F31" s="99"/>
      <c r="G31" s="93"/>
      <c r="H31" s="93"/>
      <c r="I31" s="99"/>
    </row>
    <row r="33" spans="2:6">
      <c r="B33" s="488" t="s">
        <v>170</v>
      </c>
      <c r="C33" s="488"/>
    </row>
    <row r="35" spans="2:6" ht="30.6">
      <c r="B35" s="243" t="s">
        <v>171</v>
      </c>
      <c r="C35" s="243" t="s">
        <v>172</v>
      </c>
      <c r="D35" s="243" t="s">
        <v>173</v>
      </c>
      <c r="E35" s="243" t="s">
        <v>174</v>
      </c>
      <c r="F35" s="243" t="s">
        <v>175</v>
      </c>
    </row>
    <row r="36" spans="2:6" ht="20.399999999999999">
      <c r="B36" s="336" t="s">
        <v>670</v>
      </c>
      <c r="C36" s="149">
        <f>+C10</f>
        <v>6837.9</v>
      </c>
      <c r="D36" s="150">
        <v>13097698</v>
      </c>
      <c r="E36" s="151">
        <f>+D10</f>
        <v>6870.81</v>
      </c>
      <c r="F36" s="335"/>
    </row>
    <row r="37" spans="2:6" ht="20.399999999999999">
      <c r="B37" s="336" t="s">
        <v>671</v>
      </c>
      <c r="C37" s="149">
        <f>+C10</f>
        <v>6837.9</v>
      </c>
      <c r="D37" s="150">
        <v>-17585113</v>
      </c>
      <c r="E37" s="158">
        <f>+D11</f>
        <v>6887.4</v>
      </c>
      <c r="F37" s="335"/>
    </row>
    <row r="38" spans="2:6">
      <c r="B38" s="100"/>
      <c r="C38" s="93"/>
      <c r="D38" s="99"/>
      <c r="E38" s="101"/>
      <c r="F38" s="102"/>
    </row>
    <row r="39" spans="2:6">
      <c r="B39" s="100"/>
      <c r="C39" s="93"/>
      <c r="D39" s="99"/>
      <c r="E39" s="101"/>
      <c r="F39" s="102"/>
    </row>
    <row r="40" spans="2:6">
      <c r="B40" s="9"/>
      <c r="C40" s="10"/>
      <c r="D40" s="11"/>
      <c r="E40" s="10"/>
      <c r="F40" s="11"/>
    </row>
    <row r="41" spans="2:6">
      <c r="B41" s="9"/>
      <c r="C41" s="10"/>
      <c r="D41" s="11"/>
      <c r="E41" s="10"/>
      <c r="F41" s="11"/>
    </row>
    <row r="42" spans="2:6">
      <c r="B42" s="9"/>
      <c r="C42" s="10"/>
      <c r="D42" s="11"/>
      <c r="E42" s="10"/>
      <c r="F42" s="11"/>
    </row>
    <row r="43" spans="2:6">
      <c r="B43" s="9"/>
      <c r="C43" s="10"/>
      <c r="D43" s="11"/>
      <c r="E43" s="10"/>
      <c r="F43" s="11"/>
    </row>
    <row r="44" spans="2:6">
      <c r="B44" s="9"/>
      <c r="C44" s="10"/>
      <c r="D44" s="11"/>
      <c r="E44" s="10"/>
      <c r="F44" s="11"/>
    </row>
  </sheetData>
  <mergeCells count="12">
    <mergeCell ref="B33:C33"/>
    <mergeCell ref="B15:C15"/>
    <mergeCell ref="I17:I19"/>
    <mergeCell ref="H17:H19"/>
    <mergeCell ref="G17:G19"/>
    <mergeCell ref="B6:E6"/>
    <mergeCell ref="B8:B9"/>
    <mergeCell ref="E17:E19"/>
    <mergeCell ref="F17:F19"/>
    <mergeCell ref="C17:C19"/>
    <mergeCell ref="D17:D19"/>
    <mergeCell ref="B17:B19"/>
  </mergeCells>
  <pageMargins left="0.70866141732283472" right="0.70866141732283472" top="1.1417322834645669" bottom="0.74803149606299213" header="0.31496062992125984" footer="0.31496062992125984"/>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2:N112"/>
  <sheetViews>
    <sheetView showGridLines="0" topLeftCell="A58" zoomScaleNormal="100" workbookViewId="0">
      <selection activeCell="D95" sqref="D95"/>
    </sheetView>
  </sheetViews>
  <sheetFormatPr baseColWidth="10" defaultColWidth="10.6640625" defaultRowHeight="14.4"/>
  <cols>
    <col min="1" max="1" width="4.33203125" customWidth="1"/>
    <col min="2" max="2" width="53.6640625" customWidth="1"/>
    <col min="3" max="3" width="18.33203125" customWidth="1"/>
    <col min="4" max="4" width="21.33203125" bestFit="1" customWidth="1"/>
    <col min="5" max="5" width="23" bestFit="1" customWidth="1"/>
    <col min="6" max="6" width="14" customWidth="1"/>
    <col min="7" max="7" width="13.33203125" bestFit="1" customWidth="1"/>
    <col min="8" max="8" width="15.44140625" customWidth="1"/>
    <col min="9" max="9" width="13.33203125" bestFit="1" customWidth="1"/>
    <col min="12" max="12" width="11.33203125" bestFit="1" customWidth="1"/>
  </cols>
  <sheetData>
    <row r="2" spans="2:5" s="50" customFormat="1"/>
    <row r="3" spans="2:5" ht="20.7" customHeight="1">
      <c r="B3" s="186" t="s">
        <v>176</v>
      </c>
      <c r="C3" s="187"/>
      <c r="D3" s="187"/>
      <c r="E3" s="187"/>
    </row>
    <row r="4" spans="2:5">
      <c r="B4" s="496" t="s">
        <v>177</v>
      </c>
      <c r="C4" s="496"/>
      <c r="D4" s="496"/>
      <c r="E4" s="496"/>
    </row>
    <row r="6" spans="2:5">
      <c r="B6" s="498" t="s">
        <v>178</v>
      </c>
      <c r="C6" s="498" t="s">
        <v>179</v>
      </c>
      <c r="D6" s="490" t="s">
        <v>180</v>
      </c>
    </row>
    <row r="7" spans="2:5">
      <c r="B7" s="498"/>
      <c r="C7" s="498"/>
      <c r="D7" s="490"/>
    </row>
    <row r="8" spans="2:5">
      <c r="B8" s="44" t="s">
        <v>181</v>
      </c>
      <c r="C8" s="45">
        <v>0</v>
      </c>
      <c r="D8" s="45">
        <v>0</v>
      </c>
    </row>
    <row r="9" spans="2:5" s="50" customFormat="1">
      <c r="B9" s="44" t="s">
        <v>627</v>
      </c>
      <c r="C9" s="45">
        <v>2355138</v>
      </c>
      <c r="D9" s="45">
        <v>5823222</v>
      </c>
    </row>
    <row r="10" spans="2:5" s="50" customFormat="1">
      <c r="B10" s="44" t="s">
        <v>620</v>
      </c>
      <c r="C10" s="45">
        <v>253675423</v>
      </c>
      <c r="D10" s="45">
        <v>4323938.1099977493</v>
      </c>
    </row>
    <row r="11" spans="2:5" s="50" customFormat="1">
      <c r="B11" s="44" t="s">
        <v>628</v>
      </c>
      <c r="C11" s="45">
        <v>61814423</v>
      </c>
      <c r="D11" s="45">
        <v>383562699</v>
      </c>
    </row>
    <row r="12" spans="2:5" s="50" customFormat="1">
      <c r="B12" s="44" t="s">
        <v>629</v>
      </c>
      <c r="C12" s="45">
        <v>0</v>
      </c>
      <c r="D12" s="45">
        <v>200166</v>
      </c>
    </row>
    <row r="13" spans="2:5" s="50" customFormat="1">
      <c r="B13" s="44" t="s">
        <v>621</v>
      </c>
      <c r="C13" s="45">
        <v>0</v>
      </c>
      <c r="D13" s="45">
        <v>687356</v>
      </c>
    </row>
    <row r="14" spans="2:5" s="50" customFormat="1">
      <c r="B14" s="44" t="s">
        <v>630</v>
      </c>
      <c r="C14" s="45">
        <v>513799</v>
      </c>
      <c r="D14" s="45">
        <v>513423</v>
      </c>
    </row>
    <row r="15" spans="2:5">
      <c r="B15" s="44" t="s">
        <v>631</v>
      </c>
      <c r="C15" s="45">
        <v>29546672</v>
      </c>
      <c r="D15" s="45">
        <v>29546672</v>
      </c>
    </row>
    <row r="16" spans="2:5" s="50" customFormat="1">
      <c r="B16" s="44" t="s">
        <v>632</v>
      </c>
      <c r="C16" s="45">
        <v>9699722</v>
      </c>
      <c r="D16" s="45">
        <v>9699722</v>
      </c>
    </row>
    <row r="17" spans="2:9" s="50" customFormat="1">
      <c r="B17" s="44" t="s">
        <v>622</v>
      </c>
      <c r="C17" s="45">
        <v>224477676</v>
      </c>
      <c r="D17" s="45">
        <v>224477676</v>
      </c>
    </row>
    <row r="18" spans="2:9">
      <c r="B18" s="44" t="s">
        <v>634</v>
      </c>
      <c r="C18" s="45">
        <v>6839610</v>
      </c>
      <c r="D18" s="45">
        <v>6839610</v>
      </c>
      <c r="E18" s="50"/>
      <c r="F18" s="50"/>
    </row>
    <row r="19" spans="2:9" s="50" customFormat="1">
      <c r="B19" s="44" t="s">
        <v>765</v>
      </c>
      <c r="C19" s="45">
        <v>192049</v>
      </c>
      <c r="D19" s="45">
        <v>0</v>
      </c>
    </row>
    <row r="20" spans="2:9" s="50" customFormat="1">
      <c r="B20" s="44" t="s">
        <v>766</v>
      </c>
      <c r="C20" s="45">
        <v>692841</v>
      </c>
      <c r="D20" s="45">
        <v>0</v>
      </c>
    </row>
    <row r="21" spans="2:9" s="50" customFormat="1">
      <c r="B21" s="44" t="s">
        <v>633</v>
      </c>
      <c r="C21" s="45">
        <v>0</v>
      </c>
      <c r="D21" s="45">
        <v>642983</v>
      </c>
    </row>
    <row r="22" spans="2:9">
      <c r="B22" s="46" t="s">
        <v>182</v>
      </c>
      <c r="C22" s="47">
        <f>SUM(C8:C21)</f>
        <v>589807353</v>
      </c>
      <c r="D22" s="47">
        <f>SUM(D8:D21)</f>
        <v>666317467.10999775</v>
      </c>
      <c r="E22" s="50"/>
      <c r="F22" s="50"/>
    </row>
    <row r="23" spans="2:9">
      <c r="E23" s="50"/>
      <c r="F23" s="50"/>
    </row>
    <row r="24" spans="2:9">
      <c r="B24" s="186" t="s">
        <v>183</v>
      </c>
      <c r="C24" s="187"/>
      <c r="D24" s="187"/>
      <c r="E24" s="50"/>
      <c r="F24" s="50"/>
    </row>
    <row r="25" spans="2:9">
      <c r="B25" s="496" t="s">
        <v>184</v>
      </c>
      <c r="C25" s="496"/>
      <c r="D25" s="496"/>
    </row>
    <row r="27" spans="2:9">
      <c r="B27" s="474" t="s">
        <v>185</v>
      </c>
      <c r="C27" s="474"/>
      <c r="D27" s="474"/>
      <c r="E27" s="474"/>
      <c r="F27" s="474"/>
      <c r="G27" s="474" t="s">
        <v>186</v>
      </c>
      <c r="H27" s="474"/>
      <c r="I27" s="474"/>
    </row>
    <row r="28" spans="2:9" ht="18" customHeight="1">
      <c r="B28" s="116"/>
      <c r="C28" s="116" t="s">
        <v>187</v>
      </c>
      <c r="D28" s="493" t="s">
        <v>188</v>
      </c>
      <c r="E28" s="493" t="s">
        <v>189</v>
      </c>
      <c r="F28" s="116" t="s">
        <v>190</v>
      </c>
      <c r="G28" s="116"/>
      <c r="H28" s="116"/>
      <c r="I28" s="116" t="s">
        <v>192</v>
      </c>
    </row>
    <row r="29" spans="2:9">
      <c r="B29" s="116" t="s">
        <v>193</v>
      </c>
      <c r="C29" s="116" t="s">
        <v>194</v>
      </c>
      <c r="D29" s="493"/>
      <c r="E29" s="493"/>
      <c r="F29" s="116" t="s">
        <v>195</v>
      </c>
      <c r="G29" s="116" t="s">
        <v>121</v>
      </c>
      <c r="H29" s="116" t="s">
        <v>191</v>
      </c>
      <c r="I29" s="116" t="s">
        <v>196</v>
      </c>
    </row>
    <row r="30" spans="2:9">
      <c r="B30" s="117" t="s">
        <v>197</v>
      </c>
      <c r="C30" s="118"/>
      <c r="D30" s="119"/>
      <c r="E30" s="120"/>
      <c r="F30" s="120"/>
      <c r="G30" s="119"/>
      <c r="H30" s="119"/>
      <c r="I30" s="119"/>
    </row>
    <row r="31" spans="2:9">
      <c r="B31" s="136" t="s">
        <v>360</v>
      </c>
      <c r="C31" s="137" t="s">
        <v>361</v>
      </c>
      <c r="D31" s="137">
        <v>1</v>
      </c>
      <c r="E31" s="61">
        <v>200000000</v>
      </c>
      <c r="F31" s="61">
        <v>900000000</v>
      </c>
      <c r="G31" s="138">
        <v>8800000000</v>
      </c>
      <c r="H31" s="138">
        <v>0</v>
      </c>
      <c r="I31" s="138">
        <v>0</v>
      </c>
    </row>
    <row r="32" spans="2:9">
      <c r="B32" s="72"/>
      <c r="C32" s="79"/>
      <c r="D32" s="79"/>
      <c r="E32" s="63"/>
      <c r="F32" s="62"/>
      <c r="G32" s="79"/>
      <c r="H32" s="79"/>
      <c r="I32" s="79"/>
    </row>
    <row r="33" spans="2:9">
      <c r="B33" s="494" t="s">
        <v>198</v>
      </c>
      <c r="C33" s="494"/>
      <c r="D33" s="494"/>
      <c r="E33" s="242">
        <v>0</v>
      </c>
      <c r="F33" s="242">
        <f>SUM(F31:F32)</f>
        <v>900000000</v>
      </c>
      <c r="G33" s="79"/>
      <c r="H33" s="79"/>
      <c r="I33" s="79"/>
    </row>
    <row r="34" spans="2:9">
      <c r="B34" s="495" t="s">
        <v>199</v>
      </c>
      <c r="C34" s="495"/>
      <c r="D34" s="495"/>
      <c r="E34" s="67">
        <v>0</v>
      </c>
      <c r="F34" s="80">
        <v>0</v>
      </c>
      <c r="G34" s="79"/>
      <c r="H34" s="79"/>
      <c r="I34" s="79"/>
    </row>
    <row r="36" spans="2:9">
      <c r="B36" s="186" t="s">
        <v>200</v>
      </c>
      <c r="C36" s="187"/>
      <c r="D36" s="187"/>
      <c r="E36" s="187"/>
      <c r="F36" s="187"/>
    </row>
    <row r="37" spans="2:9" ht="47.25" customHeight="1">
      <c r="B37" s="482" t="s">
        <v>716</v>
      </c>
      <c r="C37" s="482"/>
      <c r="D37" s="482"/>
      <c r="E37" s="482"/>
      <c r="F37" s="482"/>
      <c r="G37" s="354"/>
    </row>
    <row r="38" spans="2:9" ht="27" customHeight="1">
      <c r="B38" s="233" t="s">
        <v>6</v>
      </c>
      <c r="C38" s="233" t="s">
        <v>201</v>
      </c>
      <c r="D38" s="233" t="s">
        <v>202</v>
      </c>
      <c r="E38" s="233" t="s">
        <v>203</v>
      </c>
    </row>
    <row r="39" spans="2:9" s="21" customFormat="1">
      <c r="B39" s="81" t="s">
        <v>204</v>
      </c>
      <c r="C39" s="82">
        <v>200000000</v>
      </c>
      <c r="D39" s="83">
        <v>516375371</v>
      </c>
      <c r="E39" s="82">
        <v>900000000</v>
      </c>
    </row>
    <row r="40" spans="2:9">
      <c r="B40" s="60" t="s">
        <v>205</v>
      </c>
      <c r="C40" s="82">
        <v>200000000</v>
      </c>
      <c r="D40" s="82">
        <v>369164803</v>
      </c>
      <c r="E40" s="83">
        <v>851000000</v>
      </c>
    </row>
    <row r="42" spans="2:9">
      <c r="B42" s="186" t="s">
        <v>206</v>
      </c>
      <c r="C42" s="187"/>
      <c r="D42" s="187"/>
      <c r="E42" s="187"/>
      <c r="F42" s="187"/>
    </row>
    <row r="43" spans="2:9">
      <c r="B43" s="496" t="s">
        <v>184</v>
      </c>
      <c r="C43" s="496"/>
      <c r="D43" s="496"/>
      <c r="E43" s="496"/>
      <c r="F43" s="496"/>
    </row>
    <row r="44" spans="2:9">
      <c r="B44" s="190"/>
      <c r="C44" s="187"/>
      <c r="D44" s="187"/>
      <c r="E44" s="187"/>
      <c r="F44" s="187"/>
    </row>
    <row r="45" spans="2:9">
      <c r="B45" s="497" t="s">
        <v>426</v>
      </c>
      <c r="C45" s="497"/>
      <c r="D45" s="187"/>
      <c r="E45" s="187"/>
      <c r="F45" s="187"/>
    </row>
    <row r="46" spans="2:9">
      <c r="B46" s="491" t="s">
        <v>171</v>
      </c>
      <c r="C46" s="491" t="s">
        <v>179</v>
      </c>
      <c r="D46" s="491" t="s">
        <v>207</v>
      </c>
    </row>
    <row r="47" spans="2:9" ht="6.6" customHeight="1">
      <c r="B47" s="491"/>
      <c r="C47" s="491"/>
      <c r="D47" s="491"/>
    </row>
    <row r="48" spans="2:9">
      <c r="B48" s="69" t="s">
        <v>635</v>
      </c>
      <c r="C48" s="84">
        <v>0</v>
      </c>
      <c r="D48" s="84">
        <v>0</v>
      </c>
    </row>
    <row r="49" spans="2:13">
      <c r="B49" s="69" t="s">
        <v>636</v>
      </c>
      <c r="C49" s="84">
        <v>0</v>
      </c>
      <c r="D49" s="84">
        <v>0</v>
      </c>
    </row>
    <row r="50" spans="2:13">
      <c r="B50" s="71" t="s">
        <v>208</v>
      </c>
      <c r="C50" s="85">
        <f>+C49+C48</f>
        <v>0</v>
      </c>
      <c r="D50" s="85">
        <f>+D49+D48</f>
        <v>0</v>
      </c>
    </row>
    <row r="52" spans="2:13">
      <c r="B52" s="186" t="s">
        <v>427</v>
      </c>
    </row>
    <row r="53" spans="2:13">
      <c r="B53" s="492" t="s">
        <v>363</v>
      </c>
      <c r="C53" s="492" t="s">
        <v>179</v>
      </c>
      <c r="D53" s="492" t="s">
        <v>207</v>
      </c>
    </row>
    <row r="54" spans="2:13">
      <c r="B54" s="492"/>
      <c r="C54" s="492"/>
      <c r="D54" s="492"/>
    </row>
    <row r="55" spans="2:13" ht="15.6">
      <c r="B55" s="86" t="s">
        <v>377</v>
      </c>
      <c r="C55" s="87">
        <v>71831990</v>
      </c>
      <c r="D55" s="87">
        <v>75166750</v>
      </c>
      <c r="E55" s="387"/>
      <c r="G55" s="16"/>
    </row>
    <row r="56" spans="2:13" ht="15.6">
      <c r="B56" s="86" t="s">
        <v>714</v>
      </c>
      <c r="C56" s="87">
        <f>3598076-555590</f>
        <v>3042486</v>
      </c>
      <c r="D56" s="88">
        <v>0</v>
      </c>
      <c r="E56" s="388"/>
      <c r="G56" s="16"/>
    </row>
    <row r="57" spans="2:13" ht="15.6">
      <c r="B57" s="89" t="s">
        <v>208</v>
      </c>
      <c r="C57" s="90">
        <f>SUM(C55:C56)</f>
        <v>74874476</v>
      </c>
      <c r="D57" s="90">
        <f>SUM(D55:D56)</f>
        <v>75166750</v>
      </c>
      <c r="E57" s="389"/>
      <c r="G57" s="17"/>
      <c r="I57" s="21"/>
      <c r="J57" s="21"/>
      <c r="K57" s="21"/>
      <c r="L57" s="21"/>
      <c r="M57" s="21"/>
    </row>
    <row r="58" spans="2:13" s="50" customFormat="1" ht="15.6">
      <c r="B58" s="371"/>
      <c r="C58" s="372"/>
      <c r="D58" s="372"/>
      <c r="E58" s="389"/>
      <c r="G58" s="17"/>
      <c r="I58" s="21"/>
      <c r="J58" s="21"/>
      <c r="K58" s="21"/>
      <c r="L58" s="21"/>
      <c r="M58" s="21"/>
    </row>
    <row r="59" spans="2:13" s="50" customFormat="1" ht="15.6">
      <c r="B59" s="371"/>
      <c r="C59" s="372"/>
      <c r="D59" s="372"/>
      <c r="E59" s="389"/>
      <c r="G59" s="17"/>
      <c r="I59" s="21"/>
      <c r="J59" s="21"/>
      <c r="K59" s="21"/>
      <c r="L59" s="21"/>
      <c r="M59" s="21"/>
    </row>
    <row r="60" spans="2:13" s="50" customFormat="1">
      <c r="B60" s="186" t="s">
        <v>708</v>
      </c>
      <c r="E60" s="390"/>
    </row>
    <row r="61" spans="2:13" s="50" customFormat="1">
      <c r="B61" s="492" t="s">
        <v>363</v>
      </c>
      <c r="C61" s="492" t="s">
        <v>179</v>
      </c>
      <c r="D61" s="492" t="s">
        <v>207</v>
      </c>
      <c r="E61" s="390"/>
    </row>
    <row r="62" spans="2:13" s="50" customFormat="1">
      <c r="B62" s="492"/>
      <c r="C62" s="492"/>
      <c r="D62" s="492"/>
      <c r="E62" s="390"/>
    </row>
    <row r="63" spans="2:13" s="50" customFormat="1" ht="15.6">
      <c r="B63" s="86" t="s">
        <v>611</v>
      </c>
      <c r="C63" s="87">
        <v>53088</v>
      </c>
      <c r="D63" s="88">
        <v>34987</v>
      </c>
      <c r="E63" s="387"/>
      <c r="G63" s="16"/>
    </row>
    <row r="64" spans="2:13" s="50" customFormat="1" ht="15.6">
      <c r="B64" s="86" t="s">
        <v>610</v>
      </c>
      <c r="C64" s="87">
        <v>0</v>
      </c>
      <c r="D64" s="88">
        <v>40414</v>
      </c>
      <c r="E64" s="387"/>
      <c r="G64" s="16"/>
    </row>
    <row r="65" spans="2:7" s="50" customFormat="1" ht="15.6">
      <c r="B65" s="86" t="s">
        <v>709</v>
      </c>
      <c r="C65" s="87">
        <v>0</v>
      </c>
      <c r="D65" s="88">
        <v>55274</v>
      </c>
      <c r="E65" s="387"/>
      <c r="G65" s="16"/>
    </row>
    <row r="66" spans="2:7" s="50" customFormat="1" ht="15.6">
      <c r="B66" s="86" t="s">
        <v>710</v>
      </c>
      <c r="C66" s="87">
        <v>0</v>
      </c>
      <c r="D66" s="88">
        <v>92049</v>
      </c>
      <c r="E66" s="387"/>
      <c r="G66" s="16"/>
    </row>
    <row r="67" spans="2:7" s="50" customFormat="1" ht="15.6">
      <c r="B67" s="86" t="s">
        <v>711</v>
      </c>
      <c r="C67" s="87">
        <v>0</v>
      </c>
      <c r="D67" s="88">
        <v>66000000</v>
      </c>
      <c r="E67" s="387"/>
      <c r="G67" s="16"/>
    </row>
    <row r="68" spans="2:7" s="50" customFormat="1" ht="15.6">
      <c r="B68" s="86" t="s">
        <v>711</v>
      </c>
      <c r="C68" s="87">
        <v>77000000</v>
      </c>
      <c r="D68" s="88">
        <v>66000000</v>
      </c>
      <c r="E68" s="387"/>
      <c r="G68" s="16"/>
    </row>
    <row r="69" spans="2:7" s="50" customFormat="1" ht="15.6">
      <c r="B69" s="86" t="s">
        <v>712</v>
      </c>
      <c r="C69" s="87">
        <v>0</v>
      </c>
      <c r="D69" s="88">
        <f>1634973-181</f>
        <v>1634792</v>
      </c>
      <c r="E69" s="387"/>
      <c r="G69" s="16"/>
    </row>
    <row r="70" spans="2:7" s="50" customFormat="1" ht="15.6">
      <c r="B70" s="86" t="s">
        <v>713</v>
      </c>
      <c r="C70" s="87">
        <v>0</v>
      </c>
      <c r="D70" s="88">
        <v>850054</v>
      </c>
      <c r="E70" s="387"/>
      <c r="G70" s="16"/>
    </row>
    <row r="71" spans="2:7" s="50" customFormat="1" ht="15.6">
      <c r="B71" s="86" t="s">
        <v>663</v>
      </c>
      <c r="C71" s="87">
        <v>0</v>
      </c>
      <c r="D71" s="88">
        <v>712119</v>
      </c>
      <c r="E71" s="387"/>
      <c r="G71" s="16"/>
    </row>
    <row r="72" spans="2:7" s="50" customFormat="1" ht="15.6">
      <c r="B72" s="86" t="s">
        <v>664</v>
      </c>
      <c r="C72" s="87">
        <v>2212750</v>
      </c>
      <c r="D72" s="88">
        <f>2203809+8941</f>
        <v>2212750</v>
      </c>
      <c r="E72" s="387"/>
      <c r="G72" s="16"/>
    </row>
    <row r="73" spans="2:7" s="50" customFormat="1" ht="15.6">
      <c r="B73" s="86" t="s">
        <v>733</v>
      </c>
      <c r="C73" s="87">
        <v>22872300</v>
      </c>
      <c r="D73" s="88"/>
      <c r="E73" s="387"/>
      <c r="G73" s="16"/>
    </row>
    <row r="74" spans="2:7" s="50" customFormat="1" ht="15.6">
      <c r="B74" s="86" t="s">
        <v>734</v>
      </c>
      <c r="C74" s="87">
        <v>165000</v>
      </c>
      <c r="D74" s="88"/>
      <c r="E74" s="387"/>
      <c r="G74" s="16"/>
    </row>
    <row r="75" spans="2:7" s="50" customFormat="1" ht="15.6">
      <c r="B75" s="86" t="s">
        <v>735</v>
      </c>
      <c r="C75" s="87">
        <v>16500000</v>
      </c>
      <c r="D75" s="88"/>
      <c r="E75" s="387"/>
      <c r="G75" s="16"/>
    </row>
    <row r="76" spans="2:7" s="50" customFormat="1" ht="15.6">
      <c r="B76" s="86" t="s">
        <v>736</v>
      </c>
      <c r="C76" s="87">
        <v>3143832</v>
      </c>
      <c r="D76" s="88"/>
      <c r="E76" s="387"/>
      <c r="G76" s="16"/>
    </row>
    <row r="77" spans="2:7" s="50" customFormat="1" ht="15.6">
      <c r="B77" s="86" t="s">
        <v>767</v>
      </c>
      <c r="C77" s="87">
        <v>620188990</v>
      </c>
      <c r="D77" s="88"/>
      <c r="E77" s="387"/>
      <c r="G77" s="16"/>
    </row>
    <row r="78" spans="2:7" s="50" customFormat="1" ht="15.6">
      <c r="B78" s="86" t="s">
        <v>737</v>
      </c>
      <c r="C78" s="87">
        <v>198000000</v>
      </c>
      <c r="D78" s="88"/>
      <c r="E78" s="387"/>
      <c r="G78" s="16"/>
    </row>
    <row r="79" spans="2:7" s="50" customFormat="1" ht="15.6">
      <c r="B79" s="86" t="s">
        <v>738</v>
      </c>
      <c r="C79" s="87">
        <v>0</v>
      </c>
      <c r="D79" s="88"/>
      <c r="E79" s="387"/>
      <c r="G79" s="16"/>
    </row>
    <row r="80" spans="2:7" s="50" customFormat="1" ht="15.6">
      <c r="B80" s="86" t="s">
        <v>739</v>
      </c>
      <c r="C80" s="87">
        <v>23173097</v>
      </c>
      <c r="D80" s="88"/>
      <c r="E80" s="387"/>
      <c r="G80" s="16"/>
    </row>
    <row r="81" spans="2:14" s="50" customFormat="1" ht="15.6">
      <c r="B81" s="86" t="s">
        <v>740</v>
      </c>
      <c r="C81" s="87">
        <v>0</v>
      </c>
      <c r="D81" s="88"/>
      <c r="E81" s="387"/>
      <c r="G81" s="16"/>
    </row>
    <row r="82" spans="2:14" s="50" customFormat="1" ht="15.6">
      <c r="B82" s="86" t="s">
        <v>741</v>
      </c>
      <c r="C82" s="87">
        <v>38270500</v>
      </c>
      <c r="D82" s="88"/>
      <c r="E82" s="387"/>
      <c r="G82" s="16"/>
    </row>
    <row r="83" spans="2:14" s="50" customFormat="1" ht="15.6">
      <c r="B83" s="86" t="s">
        <v>742</v>
      </c>
      <c r="C83" s="87">
        <v>165000</v>
      </c>
      <c r="D83" s="88"/>
      <c r="E83" s="387"/>
      <c r="G83" s="16"/>
    </row>
    <row r="84" spans="2:14" s="50" customFormat="1" ht="15.6">
      <c r="B84" s="86"/>
      <c r="C84" s="87">
        <v>0</v>
      </c>
      <c r="D84" s="88"/>
      <c r="E84" s="39"/>
      <c r="G84" s="16"/>
    </row>
    <row r="85" spans="2:14" s="50" customFormat="1" ht="15.6">
      <c r="B85" s="89" t="s">
        <v>208</v>
      </c>
      <c r="C85" s="90">
        <f>SUM(C63:C84)</f>
        <v>1001744557</v>
      </c>
      <c r="D85" s="90">
        <f>SUM(D63:D84)</f>
        <v>137632439</v>
      </c>
      <c r="E85" s="32"/>
      <c r="G85" s="17"/>
      <c r="I85" s="21"/>
      <c r="J85" s="21"/>
      <c r="K85" s="21"/>
      <c r="L85" s="21"/>
      <c r="M85" s="21"/>
    </row>
    <row r="86" spans="2:14" s="50" customFormat="1" ht="15.6">
      <c r="B86" s="371"/>
      <c r="C86" s="372"/>
      <c r="D86" s="372"/>
      <c r="E86" s="32"/>
      <c r="G86" s="17"/>
      <c r="I86" s="21"/>
      <c r="J86" s="21"/>
      <c r="K86" s="21"/>
      <c r="L86" s="21"/>
      <c r="M86" s="21"/>
    </row>
    <row r="87" spans="2:14" s="50" customFormat="1" ht="15.6">
      <c r="B87" s="371"/>
      <c r="C87" s="372"/>
      <c r="D87" s="372"/>
      <c r="E87" s="32"/>
      <c r="G87" s="17"/>
      <c r="I87" s="21"/>
      <c r="J87" s="21"/>
      <c r="K87" s="21"/>
      <c r="L87" s="21"/>
      <c r="M87" s="21"/>
    </row>
    <row r="88" spans="2:14" s="50" customFormat="1" ht="15.6">
      <c r="B88" s="371"/>
      <c r="C88" s="372"/>
      <c r="D88" s="372"/>
      <c r="E88" s="32"/>
      <c r="G88" s="17"/>
      <c r="I88" s="21"/>
      <c r="J88" s="21"/>
      <c r="K88" s="21"/>
      <c r="L88" s="21"/>
      <c r="M88" s="21"/>
    </row>
    <row r="90" spans="2:14">
      <c r="B90" s="186" t="s">
        <v>209</v>
      </c>
    </row>
    <row r="91" spans="2:14">
      <c r="B91" s="490" t="s">
        <v>210</v>
      </c>
      <c r="C91" s="490" t="s">
        <v>211</v>
      </c>
      <c r="D91" s="490"/>
      <c r="E91" s="490"/>
      <c r="F91" s="490"/>
      <c r="G91" s="490"/>
      <c r="H91" s="490" t="s">
        <v>212</v>
      </c>
      <c r="I91" s="490"/>
      <c r="J91" s="490"/>
      <c r="K91" s="490"/>
      <c r="L91" s="490"/>
      <c r="M91" s="490"/>
      <c r="N91" s="3"/>
    </row>
    <row r="92" spans="2:14">
      <c r="B92" s="490"/>
      <c r="C92" s="490" t="s">
        <v>213</v>
      </c>
      <c r="D92" s="490" t="s">
        <v>214</v>
      </c>
      <c r="E92" s="490" t="s">
        <v>215</v>
      </c>
      <c r="F92" s="490" t="s">
        <v>216</v>
      </c>
      <c r="G92" s="490" t="s">
        <v>217</v>
      </c>
      <c r="H92" s="490" t="s">
        <v>218</v>
      </c>
      <c r="I92" s="490" t="s">
        <v>214</v>
      </c>
      <c r="J92" s="490" t="s">
        <v>215</v>
      </c>
      <c r="K92" s="490" t="s">
        <v>219</v>
      </c>
      <c r="L92" s="490" t="s">
        <v>220</v>
      </c>
      <c r="M92" s="490" t="s">
        <v>221</v>
      </c>
      <c r="N92" s="3"/>
    </row>
    <row r="93" spans="2:14">
      <c r="B93" s="490"/>
      <c r="C93" s="490"/>
      <c r="D93" s="490"/>
      <c r="E93" s="490"/>
      <c r="F93" s="490"/>
      <c r="G93" s="490"/>
      <c r="H93" s="490"/>
      <c r="I93" s="490"/>
      <c r="J93" s="490"/>
      <c r="K93" s="490"/>
      <c r="L93" s="490"/>
      <c r="M93" s="490"/>
      <c r="N93" s="3"/>
    </row>
    <row r="94" spans="2:14">
      <c r="B94" s="490"/>
      <c r="C94" s="490"/>
      <c r="D94" s="490"/>
      <c r="E94" s="490"/>
      <c r="F94" s="490"/>
      <c r="G94" s="490"/>
      <c r="H94" s="490"/>
      <c r="I94" s="490"/>
      <c r="J94" s="490"/>
      <c r="K94" s="490"/>
      <c r="L94" s="490"/>
      <c r="M94" s="490"/>
      <c r="N94" s="3"/>
    </row>
    <row r="95" spans="2:14" s="50" customFormat="1">
      <c r="B95" s="224" t="s">
        <v>222</v>
      </c>
      <c r="C95" s="352">
        <v>93398116</v>
      </c>
      <c r="D95" s="352">
        <v>19483836</v>
      </c>
      <c r="E95" s="352">
        <v>0</v>
      </c>
      <c r="F95" s="352">
        <v>0</v>
      </c>
      <c r="G95" s="352">
        <f>+D95+C95</f>
        <v>112881952</v>
      </c>
      <c r="H95" s="352">
        <v>85422362.140792415</v>
      </c>
      <c r="I95" s="352">
        <v>0</v>
      </c>
      <c r="J95" s="352">
        <v>0</v>
      </c>
      <c r="K95" s="352">
        <v>0</v>
      </c>
      <c r="L95" s="352">
        <f>SUM(H95:K95)</f>
        <v>85422362.140792415</v>
      </c>
      <c r="M95" s="352">
        <f>+G95-L95</f>
        <v>27459589.859207585</v>
      </c>
      <c r="N95" s="3"/>
    </row>
    <row r="96" spans="2:14">
      <c r="B96" s="59" t="s">
        <v>336</v>
      </c>
      <c r="C96" s="352">
        <v>145075599</v>
      </c>
      <c r="D96" s="352">
        <v>0</v>
      </c>
      <c r="E96" s="352">
        <v>0</v>
      </c>
      <c r="F96" s="352">
        <v>0</v>
      </c>
      <c r="G96" s="352">
        <f>SUM(C96:F96)</f>
        <v>145075599</v>
      </c>
      <c r="H96" s="352">
        <v>126601013.08389015</v>
      </c>
      <c r="I96" s="352">
        <v>0</v>
      </c>
      <c r="J96" s="352">
        <v>0</v>
      </c>
      <c r="K96" s="352">
        <v>0</v>
      </c>
      <c r="L96" s="352">
        <f>SUM(H96:K96)</f>
        <v>126601013.08389015</v>
      </c>
      <c r="M96" s="352">
        <f>+G96-L96</f>
        <v>18474585.916109845</v>
      </c>
      <c r="N96" s="3"/>
    </row>
    <row r="97" spans="2:14">
      <c r="B97" s="59" t="s">
        <v>337</v>
      </c>
      <c r="C97" s="352">
        <v>0</v>
      </c>
      <c r="D97" s="352">
        <v>0</v>
      </c>
      <c r="E97" s="352">
        <f>-C97</f>
        <v>0</v>
      </c>
      <c r="F97" s="352">
        <v>0</v>
      </c>
      <c r="G97" s="352">
        <f>SUM(C97:F97)</f>
        <v>0</v>
      </c>
      <c r="H97" s="352">
        <v>0</v>
      </c>
      <c r="I97" s="352">
        <v>0</v>
      </c>
      <c r="J97" s="352">
        <f>-H97</f>
        <v>0</v>
      </c>
      <c r="K97" s="352">
        <v>0</v>
      </c>
      <c r="L97" s="352">
        <f>SUM(H97:K97)</f>
        <v>0</v>
      </c>
      <c r="M97" s="352">
        <f>+G97-L97</f>
        <v>0</v>
      </c>
      <c r="N97" s="3"/>
    </row>
    <row r="98" spans="2:14">
      <c r="B98" s="91" t="s">
        <v>223</v>
      </c>
      <c r="C98" s="58">
        <f>SUM(C95:C97)</f>
        <v>238473715</v>
      </c>
      <c r="D98" s="58">
        <f t="shared" ref="D98:K98" si="0">SUM(D95:D97)</f>
        <v>19483836</v>
      </c>
      <c r="E98" s="58">
        <f t="shared" si="0"/>
        <v>0</v>
      </c>
      <c r="F98" s="58">
        <f t="shared" si="0"/>
        <v>0</v>
      </c>
      <c r="G98" s="58">
        <f>SUM(G95:G97)</f>
        <v>257957551</v>
      </c>
      <c r="H98" s="58">
        <f>SUM(H95:H97)</f>
        <v>212023375.22468257</v>
      </c>
      <c r="I98" s="58">
        <f t="shared" si="0"/>
        <v>0</v>
      </c>
      <c r="J98" s="58">
        <f t="shared" si="0"/>
        <v>0</v>
      </c>
      <c r="K98" s="58">
        <f t="shared" si="0"/>
        <v>0</v>
      </c>
      <c r="L98" s="57">
        <f>SUM(L95:L97)</f>
        <v>212023375.22468257</v>
      </c>
      <c r="M98" s="57">
        <f>+G98-L98</f>
        <v>45934175.77531743</v>
      </c>
      <c r="N98" s="3"/>
    </row>
    <row r="99" spans="2:14">
      <c r="B99" s="91" t="s">
        <v>224</v>
      </c>
      <c r="C99" s="58">
        <f>+C98</f>
        <v>238473715</v>
      </c>
      <c r="D99" s="58">
        <v>0</v>
      </c>
      <c r="E99" s="58">
        <v>0</v>
      </c>
      <c r="F99" s="58">
        <v>0</v>
      </c>
      <c r="G99" s="58">
        <f>+C99+D99+E99+F99</f>
        <v>238473715</v>
      </c>
      <c r="H99" s="58">
        <f>+H98</f>
        <v>212023375.22468257</v>
      </c>
      <c r="I99" s="58" t="s">
        <v>137</v>
      </c>
      <c r="J99" s="58" t="s">
        <v>137</v>
      </c>
      <c r="K99" s="58">
        <v>0</v>
      </c>
      <c r="L99" s="58">
        <f>+K99+H99</f>
        <v>212023375.22468257</v>
      </c>
      <c r="M99" s="58">
        <f>+G99-L99</f>
        <v>26450339.77531743</v>
      </c>
      <c r="N99" s="3"/>
    </row>
    <row r="100" spans="2:14">
      <c r="K100" s="50"/>
      <c r="L100" s="50"/>
      <c r="M100" s="50"/>
      <c r="N100" s="50"/>
    </row>
    <row r="102" spans="2:14">
      <c r="B102" s="193" t="s">
        <v>225</v>
      </c>
      <c r="I102" s="21"/>
      <c r="J102" s="21"/>
      <c r="K102" s="21"/>
      <c r="L102" s="21"/>
      <c r="M102" s="21"/>
    </row>
    <row r="103" spans="2:14" s="50" customFormat="1">
      <c r="B103" s="1"/>
      <c r="I103" s="21"/>
      <c r="J103" s="21"/>
      <c r="K103" s="21"/>
      <c r="L103" s="21"/>
      <c r="M103" s="21"/>
    </row>
    <row r="104" spans="2:14" s="50" customFormat="1">
      <c r="B104" s="498" t="s">
        <v>363</v>
      </c>
      <c r="C104" s="498" t="s">
        <v>179</v>
      </c>
      <c r="D104" s="498" t="s">
        <v>207</v>
      </c>
    </row>
    <row r="105" spans="2:14" s="50" customFormat="1" ht="9.6" customHeight="1">
      <c r="B105" s="498"/>
      <c r="C105" s="498"/>
      <c r="D105" s="498"/>
    </row>
    <row r="106" spans="2:14" s="50" customFormat="1" ht="15.6">
      <c r="B106" s="86" t="s">
        <v>389</v>
      </c>
      <c r="C106" s="87">
        <v>0</v>
      </c>
      <c r="D106" s="88">
        <v>0</v>
      </c>
      <c r="E106" s="39">
        <v>15</v>
      </c>
      <c r="G106" s="16"/>
    </row>
    <row r="107" spans="2:14" s="50" customFormat="1" ht="15.6">
      <c r="B107" s="86" t="s">
        <v>389</v>
      </c>
      <c r="C107" s="87">
        <v>0</v>
      </c>
      <c r="D107" s="88">
        <v>0</v>
      </c>
      <c r="E107" s="39"/>
      <c r="G107" s="16"/>
    </row>
    <row r="108" spans="2:14" s="50" customFormat="1" ht="15.6">
      <c r="B108" s="86"/>
      <c r="C108" s="87">
        <f>SUM(C106:C107)</f>
        <v>0</v>
      </c>
      <c r="D108" s="87">
        <f>SUM(D106:D107)</f>
        <v>0</v>
      </c>
      <c r="E108" s="39"/>
      <c r="G108" s="16"/>
    </row>
    <row r="109" spans="2:14" ht="15" customHeight="1">
      <c r="B109" s="8"/>
      <c r="I109" s="21"/>
      <c r="J109" s="21"/>
      <c r="K109" s="21"/>
      <c r="L109" s="21"/>
      <c r="M109" s="21"/>
    </row>
    <row r="110" spans="2:14" ht="15.75" customHeight="1">
      <c r="I110" s="21"/>
      <c r="J110" s="21"/>
      <c r="K110" s="21"/>
      <c r="L110" s="21"/>
      <c r="M110" s="21"/>
    </row>
    <row r="111" spans="2:14">
      <c r="I111" s="21"/>
      <c r="J111" s="21"/>
      <c r="K111" s="21"/>
      <c r="L111" s="21"/>
      <c r="M111" s="21"/>
    </row>
    <row r="112" spans="2:14">
      <c r="I112" s="21"/>
      <c r="J112" s="21"/>
      <c r="K112" s="21"/>
      <c r="L112" s="21"/>
      <c r="M112" s="21"/>
    </row>
  </sheetData>
  <mergeCells count="40">
    <mergeCell ref="B4:E4"/>
    <mergeCell ref="B6:B7"/>
    <mergeCell ref="C6:C7"/>
    <mergeCell ref="D6:D7"/>
    <mergeCell ref="B25:D25"/>
    <mergeCell ref="B104:B105"/>
    <mergeCell ref="C104:C105"/>
    <mergeCell ref="D104:D105"/>
    <mergeCell ref="B27:F27"/>
    <mergeCell ref="B91:B94"/>
    <mergeCell ref="B53:B54"/>
    <mergeCell ref="G27:I27"/>
    <mergeCell ref="D28:D29"/>
    <mergeCell ref="E28:E29"/>
    <mergeCell ref="B33:D33"/>
    <mergeCell ref="F92:F94"/>
    <mergeCell ref="G92:G94"/>
    <mergeCell ref="C91:G91"/>
    <mergeCell ref="H92:H94"/>
    <mergeCell ref="I92:I94"/>
    <mergeCell ref="C53:C54"/>
    <mergeCell ref="D53:D54"/>
    <mergeCell ref="B34:D34"/>
    <mergeCell ref="B37:F37"/>
    <mergeCell ref="B43:F43"/>
    <mergeCell ref="B45:C45"/>
    <mergeCell ref="M92:M94"/>
    <mergeCell ref="B46:B47"/>
    <mergeCell ref="C46:C47"/>
    <mergeCell ref="D46:D47"/>
    <mergeCell ref="L92:L94"/>
    <mergeCell ref="H91:M91"/>
    <mergeCell ref="C92:C94"/>
    <mergeCell ref="D92:D94"/>
    <mergeCell ref="E92:E94"/>
    <mergeCell ref="J92:J94"/>
    <mergeCell ref="K92:K94"/>
    <mergeCell ref="B61:B62"/>
    <mergeCell ref="C61:C62"/>
    <mergeCell ref="D61:D62"/>
  </mergeCells>
  <pageMargins left="0.70866141732283472" right="0.70866141732283472" top="0.74803149606299213" bottom="0.74803149606299213" header="0.31496062992125984" footer="0.31496062992125984"/>
  <pageSetup scale="41"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zQFySyOjN6YZ+CL5gpLmcQjTGJW5kv4MHDfWg0iDnkY=</DigestValue>
    </Reference>
    <Reference Type="http://www.w3.org/2000/09/xmldsig#Object" URI="#idOfficeObject">
      <DigestMethod Algorithm="http://www.w3.org/2001/04/xmlenc#sha256"/>
      <DigestValue>Jk8jIcWH2oUoWehwYBbCJLDoNsxwm5ufy/+uycyFwAw=</DigestValue>
    </Reference>
    <Reference Type="http://uri.etsi.org/01903#SignedProperties" URI="#idSignedProperties">
      <Transforms>
        <Transform Algorithm="http://www.w3.org/TR/2001/REC-xml-c14n-20010315"/>
      </Transforms>
      <DigestMethod Algorithm="http://www.w3.org/2001/04/xmlenc#sha256"/>
      <DigestValue>GLKklOp7oCKcEcI0F5mzS0LRHPFCeUN/m1QnNGg10W4=</DigestValue>
    </Reference>
  </SignedInfo>
  <SignatureValue>x+p2Nga82LErzabpA6DtASiFpe5nTKDfKwzrHh7yTxLwO/tLaSVPaShUECsCSsj4rq2F4u58McH0
KZxGByxmcQEK0v8NrbUw4Hp6MrcVTLCl/Q2eRPl6zSs0KuK6RYFebkVlqJhUwdmVRYtdx22ce/8M
JWMUrFx44SEPjuFVrTWIIvbzfsKQlEywMab5P0E17psRxC2H7fNFf4AGEslm3TmUty+6F4PHqLjo
Rs4Z7QPZInFyJkruC3soMq/2hx1MOgcuvB5lNr+HZ0ai5+OWjxD0XOg67mDQ6o+sijoil69GZYlw
0no1UwTv/bVv16Hzxuam325WfACXuVaJPTlTyg==</SignatureValue>
  <KeyInfo>
    <X509Data>
      <X509Certificate>MIIIFDCCBfygAwIBAgITXAAAerMd/tlgMCqBRAAAAAB6szANBgkqhkiG9w0BAQsFADBXMRcwFQYDVQQFEw5SVUMgODAwODA2MTAtNzEVMBMGA1UEChMMQ09ERTEwMCBTLkEuMQswCQYDVQQGEwJQWTEYMBYGA1UEAxMPQ0EtQ09ERTEwMCBTLkEuMB4XDTIxMDcyMzEzMTA1MloXDTIzMDcyMzEzMTA1MlowgaoxKDAmBgNVBAMTH0RPUkEgSVNBQkVMIEJVU1RPIERFIEFSWkFNRU5ESUExFzAVBgNVBAoTDlBFUlNPTkEgRklTSUNBMQswCQYDVQQGEwJQWTEUMBIGA1UEKhMLRE9SQSBJU0FCRUwxHDAaBgNVBAQTE0JVU1RPIERFIEFSWkFNRU5ESUExETAPBgNVBAUTCENJNjkwNzgxMREwDwYDVQQLEwhGSVJNQSBGMjCCASIwDQYJKoZIhvcNAQEBBQADggEPADCCAQoCggEBAPOryQyO7JYD23oFUbllOrcXLYaoyLs6jEilPykf4acRYHZxF6NEW8pZV164nCt/rhvfHkZVg3yBiaN8CvwYQNTyFyI6CCAIWcBuezL4LY1t/6z7Zg0yRJxdivTJTICp7haGFRmhJWN6et/LTdL9/37GiCQk6DdVhT/wkOQW1YmAqOEPl5x5inq1VjUbzARAF3M8e4AKpZlvHL5tJIi14sgSIwwRonAGFHmKmDzx0AeFT0n4WoCKGoagk3wTZTwytGy+LLXhMUtvqbEJcgkmcg3nsMUbuj1igu+EerMNVEokNN87FERyeUYSVrbpXXNkrccP2jhBhv6goPiCDpM0mqkCAwEAAaOCA4MwggN/MA4GA1UdDwEB/wQEAwIF4DAMBgNVHRMBAf8EAjAAMCAGA1UdJQEB/wQWMBQGCCsGAQUFBwMCBggrBgEFBQcDBDAdBgNVHQ4EFgQUtY1SjQQ/2rI03DVm9sRqBCmctxgwHwYDVR0jBBgwFoAUJ/baOwt/k/hZEtAVqkLPspaWPUUwgYgGA1UdHwSBgDB+MHygeqB4hjpodHRwOi8vY2ExLmNvZGUxMDAuY29tLnB5L2Zpcm1hLWRpZ2l0YWwvY3JsL0NBLUNPREUxMDAuY3JshjpodHRwOi8vY2EyLmNvZGUxMDAuY29tLnB5L2Zpcm1hLWRpZ2l0YWwvY3JsL0NBLUNPREUxMDAuY3JsMIH4BggrBgEFBQcBAQSB6zCB6DBGBggrBgEFBQcwAoY6aHR0cDovL2NhMS5jb2RlMTAwLmNvbS5weS9maXJtYS1kaWdpdGFsL2Nlci9DQS1DT0RFMTAwLmNlcjBGBggrBgEFBQcwAoY6aHR0cDovL2NhMi5jb2RlMTAwLmNvbS5weS9maXJtYS1kaWdpdGFsL2Nlci9DQS1DT0RFMTAwLmNlcjAqBggrBgEFBQcwAYYeaHR0cDovL2NhMS5jb2RlMTAwLmNvbS5weS9vY3NwMCoGCCsGAQUFBzABhh5odHRwOi8vY2EyLmNvZGUxMDAuY29tLnB5L29jc3AwggFPBgNVHSAEggFGMIIBQjCCAT4GDCsGAQQBgtlKAQEBBjCCASwwbAYIKwYBBQUHAgEWYGh0dHA6Ly93d3cuY29kZTEwMC5jb20ucHkvZmlybWEtZGlnaXRhbC9DT0RFMTAwJTIwUG9saXRpY2ElMjBkZSUyMENlcnRpZmljYWNpb24lMjBGMiUyMHYyLjAucGRmADBmBggrBgEFBQcCAjBaHlgAUABvAGwAaQB0AGkAYwBhACAAZABlACAAYwBlAHIAdABpAGYAaQBjAGEAYwBpAG8AbgAgAEYAMgAgAGQAZQAgAEMAbwBkAGUAMQAwADAAIABTAC4AQQAuMFQGCCsGAQUFBwICMEgeRgBDAG8AZABlACAAMQAwADAAIABTAC4AQQAuACAAQwBlAHIAdABpAGYAaQBjAGEAdABlACAAUABvAGwAaQBjAHkAIABGADIwJAYDVR0RBB0wG4EZRE9SQS5BUlpBTUVORElBQEdNQUlMLkNPTTANBgkqhkiG9w0BAQsFAAOCAgEAbh53SVYPmVJG4ZfO0Pf4fUWhv6VUISshzrl6RLDo6C/v6XwHywWIi0sqhgOa2TkvSG+QWlkgCf06x9unknIIU6AJLztLCvRa8lh6Vv4hqGtgq8GDHkHdgysMX8xI3yED3Qjlgw/ohXBiHqUDtAnXaoJ6UWeZno/vr13r27Hw6hNhQMmHEhYOZpC31TFn9pRVDxieNj543h9yvRZscaiDS0Q+QOQETf7rEhZA+r0Gr7gGZ2/3+YMs49wVnbzP9YIUbC+rq3QMj4Qftue43Pvh2jwTUg+WLNvu3cY8guDS3pdWWGET9rk5RO9G3WJG59nJi3Os3tPQpIwV5ox/BKaj+3xiNMv0Yne0NAYs3ld3iaEru2mLdX8tgCkhuW5NaIc4y9/KCSLALYGitSctWpbcSBYjjfcDZEhlsFGfiIEZYhbSaiLfR7xTmIF2a+Lhb0kkey0UFEhPfsvGVY06UN2aUfGCRJiu+0z6qRlvBXHikClQpqRrO+Hq/L9C3ALleESJMnmsgk2P+TDdrkGNQtlHw5ZAuwkaumBwlcsvkKPae5avQREPICJA8axwVgGnZpuisgbTWFjkRk/nmX3EoXp/vpuzph4AupGQ+8InukohEz+SvWyH+t3fzHW9SUy+5osIfcC0WgDNpCbl43DC2rM6tgAHHt+HjQE8fGJzZbkt5T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DmhrCSfbYCzEsMal/8hW9s/BVrOJF3YwUOBulPegt1M=</DigestValue>
      </Reference>
      <Reference URI="/xl/calcChain.xml?ContentType=application/vnd.openxmlformats-officedocument.spreadsheetml.calcChain+xml">
        <DigestMethod Algorithm="http://www.w3.org/2001/04/xmlenc#sha256"/>
        <DigestValue>qETrJTYZpSOmBbwTA4fSrLtSzbKh8PoAPQTPC0+3Pfg=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ersons/person.xml?ContentType=application/vnd.ms-excel.person+xml">
        <DigestMethod Algorithm="http://www.w3.org/2001/04/xmlenc#sha256"/>
        <DigestValue>i+W0h4o0a4FsX/1VZYYgW6+PYpcmLkjFnGu2ZRI42z4=</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jfeAp47uuyGZ9oZm9JeLagr0mWk+87DFKncOsEVuQMg=</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uddxIKmwGLrA2jX81QaOOrY4Rt4Pb1MYfOTE9lQj01g=</DigestValue>
      </Reference>
      <Reference URI="/xl/styles.xml?ContentType=application/vnd.openxmlformats-officedocument.spreadsheetml.styles+xml">
        <DigestMethod Algorithm="http://www.w3.org/2001/04/xmlenc#sha256"/>
        <DigestValue>w+LDpU3cZ6B7KCpiRcoRCzYvLzzTy6VQksNQxN4JoDk=</DigestValue>
      </Reference>
      <Reference URI="/xl/theme/theme1.xml?ContentType=application/vnd.openxmlformats-officedocument.theme+xml">
        <DigestMethod Algorithm="http://www.w3.org/2001/04/xmlenc#sha256"/>
        <DigestValue>0od3cWFb7H/9sr1fB3xS8N4PVwSWcnr1ynQI1Jvf//w=</DigestValue>
      </Reference>
      <Reference URI="/xl/threadedComments/threadedComment1.xml?ContentType=application/vnd.ms-excel.threadedcomments+xml">
        <DigestMethod Algorithm="http://www.w3.org/2001/04/xmlenc#sha256"/>
        <DigestValue>00zS5zl0PbdeRoTQ+nHdnngoX/FKs+dQYyKZLrh1z/Y=</DigestValue>
      </Reference>
      <Reference URI="/xl/threadedComments/threadedComment2.xml?ContentType=application/vnd.ms-excel.threadedcomments+xml">
        <DigestMethod Algorithm="http://www.w3.org/2001/04/xmlenc#sha256"/>
        <DigestValue>xe4P1Yx/JjHq9SIk4kENQJ2CA7pQ5Qmwi7um5n8dG3E=</DigestValue>
      </Reference>
      <Reference URI="/xl/workbook.xml?ContentType=application/vnd.openxmlformats-officedocument.spreadsheetml.sheet.main+xml">
        <DigestMethod Algorithm="http://www.w3.org/2001/04/xmlenc#sha256"/>
        <DigestValue>M9+/08IwIX+aTYuFet8d7LOaiOXfgBGxInIdf4LGRHk=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1/04/xmlenc#sha256"/>
        <DigestValue>VmrfhoXBcx/JpeAAMxqFmIcaJNIS4IGUD8AaW3IxJu4=</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1/04/xmlenc#sha256"/>
        <DigestValue>qC+amY33KsZAinZlGuMFRlBkU62dCjMXPc6+bG4XmEg=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VSPGFcJjHIlXUi+5Lvix822Fkmov3s9DfCwPuWymeyU=</DigestValue>
      </Reference>
      <Reference URI="/xl/worksheets/sheet10.xml?ContentType=application/vnd.openxmlformats-officedocument.spreadsheetml.worksheet+xml">
        <DigestMethod Algorithm="http://www.w3.org/2001/04/xmlenc#sha256"/>
        <DigestValue>Cm7mcTRlpPZCWrkEVsHzhOSrVEC2mg6pGsoa8cmQJRI=</DigestValue>
      </Reference>
      <Reference URI="/xl/worksheets/sheet11.xml?ContentType=application/vnd.openxmlformats-officedocument.spreadsheetml.worksheet+xml">
        <DigestMethod Algorithm="http://www.w3.org/2001/04/xmlenc#sha256"/>
        <DigestValue>FW1X0wfQiauS5rJ6eL2yXYluKCEUdFtB3I8XJS+xLhg=</DigestValue>
      </Reference>
      <Reference URI="/xl/worksheets/sheet12.xml?ContentType=application/vnd.openxmlformats-officedocument.spreadsheetml.worksheet+xml">
        <DigestMethod Algorithm="http://www.w3.org/2001/04/xmlenc#sha256"/>
        <DigestValue>EL0WtH7Mj+ArRLah2KJJ/aAOrY+GJtzZ/ZICEtjdQRk=</DigestValue>
      </Reference>
      <Reference URI="/xl/worksheets/sheet13.xml?ContentType=application/vnd.openxmlformats-officedocument.spreadsheetml.worksheet+xml">
        <DigestMethod Algorithm="http://www.w3.org/2001/04/xmlenc#sha256"/>
        <DigestValue>hTK73nSwtwSJ/9Vl5+qR6Z2uNNZDMxNYIZ/r5kAoHOc=</DigestValue>
      </Reference>
      <Reference URI="/xl/worksheets/sheet14.xml?ContentType=application/vnd.openxmlformats-officedocument.spreadsheetml.worksheet+xml">
        <DigestMethod Algorithm="http://www.w3.org/2001/04/xmlenc#sha256"/>
        <DigestValue>Z6InBP94UkwDPqXwAN/ygpSduU1DsTPZon03GWlbgw0=</DigestValue>
      </Reference>
      <Reference URI="/xl/worksheets/sheet2.xml?ContentType=application/vnd.openxmlformats-officedocument.spreadsheetml.worksheet+xml">
        <DigestMethod Algorithm="http://www.w3.org/2001/04/xmlenc#sha256"/>
        <DigestValue>+z7D4VHs04A04NSrZ4sYZtahrytx4hPbo/7ORf8TKQM=</DigestValue>
      </Reference>
      <Reference URI="/xl/worksheets/sheet3.xml?ContentType=application/vnd.openxmlformats-officedocument.spreadsheetml.worksheet+xml">
        <DigestMethod Algorithm="http://www.w3.org/2001/04/xmlenc#sha256"/>
        <DigestValue>5rNBUs7yvJt9N4/pa0IxoH36C9B8y59OhRHN3i6WSvM=</DigestValue>
      </Reference>
      <Reference URI="/xl/worksheets/sheet4.xml?ContentType=application/vnd.openxmlformats-officedocument.spreadsheetml.worksheet+xml">
        <DigestMethod Algorithm="http://www.w3.org/2001/04/xmlenc#sha256"/>
        <DigestValue>tHFwofuSLe+1CuqPfOQ4azo+n6qnIvqEUTUfhsTx4ZY=</DigestValue>
      </Reference>
      <Reference URI="/xl/worksheets/sheet5.xml?ContentType=application/vnd.openxmlformats-officedocument.spreadsheetml.worksheet+xml">
        <DigestMethod Algorithm="http://www.w3.org/2001/04/xmlenc#sha256"/>
        <DigestValue>6yr/yS84PHZ8sMv2Z7MrW4Zf3bhwryVkf2t9sNcUFz4=</DigestValue>
      </Reference>
      <Reference URI="/xl/worksheets/sheet6.xml?ContentType=application/vnd.openxmlformats-officedocument.spreadsheetml.worksheet+xml">
        <DigestMethod Algorithm="http://www.w3.org/2001/04/xmlenc#sha256"/>
        <DigestValue>e0XqetKLd57sq+xqGxt/yPfYUpnSdl7vNiCgbyAWoUY=</DigestValue>
      </Reference>
      <Reference URI="/xl/worksheets/sheet7.xml?ContentType=application/vnd.openxmlformats-officedocument.spreadsheetml.worksheet+xml">
        <DigestMethod Algorithm="http://www.w3.org/2001/04/xmlenc#sha256"/>
        <DigestValue>OswwI/A9qsLy9To1Ou6T2obDjL2WBIvcfukDakU7PtM=</DigestValue>
      </Reference>
      <Reference URI="/xl/worksheets/sheet8.xml?ContentType=application/vnd.openxmlformats-officedocument.spreadsheetml.worksheet+xml">
        <DigestMethod Algorithm="http://www.w3.org/2001/04/xmlenc#sha256"/>
        <DigestValue>suahXPvox64ybIisjKliiEkcJftf2qa/6k0NQ1JQjKI=</DigestValue>
      </Reference>
      <Reference URI="/xl/worksheets/sheet9.xml?ContentType=application/vnd.openxmlformats-officedocument.spreadsheetml.worksheet+xml">
        <DigestMethod Algorithm="http://www.w3.org/2001/04/xmlenc#sha256"/>
        <DigestValue>LoPlZHsixuIJ8hbHez0k7tcnRFtzdYcER4aHu46BUko=</DigestValue>
      </Reference>
    </Manifest>
    <SignatureProperties>
      <SignatureProperty Id="idSignatureTime" Target="#idPackageSignature">
        <mdssi:SignatureTime xmlns:mdssi="http://schemas.openxmlformats.org/package/2006/digital-signature">
          <mdssi:Format>YYYY-MM-DDThh:mm:ssTZD</mdssi:Format>
          <mdssi:Value>2022-08-08T13:22:00Z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16.0.10387/14</OfficeVersion>
          <ApplicationVersion>16.0.10387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2022-08-08T13:22:00Z</xd:SigningTime>
          <xd:SigningCertificate>
            <xd:Cert>
              <xd:CertDigest>
                <DigestMethod Algorithm="http://www.w3.org/2001/04/xmlenc#sha256"/>
                <DigestValue>4OBqmAwi54evLH1pcaGQIMAuSU+snKvbUf3IPRi0Mu0=</DigestValue>
              </xd:CertDigest>
              <xd:IssuerSerial>
                <X509IssuerName>CN=CA-CODE100 S.A., C=PY, O=CODE100 S.A., SERIALNUMBER=RUC 80080610-7</X509IssuerName>
                <X509SerialNumber>2051668721360662333565072710022995768263080627</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lTCCBX2gAwIBAgIQFQam0zHqbL5VAzhF6Zk1wTANBgkqhkiG9w0BAQsFADBvMQswCQYDVQQGEwJQWTErMCkGA1UECgwiTWluaXN0ZXJpbyBkZSBJbmR1c3RyaWEgeSBDb21lcmNpbzEzMDEGA1UEAwwqQXV0b3JpZGFkIENlcnRpZmljYWRvcmEgUmHDrXogZGVsIFBhcmFndWF5MB4XDTE1MDMxMzE5MTkzM1oXDTI1MDMxMzE5MTkzM1owVzEXMBUGA1UEBRMOUlVDIDgwMDgwNjEwLTcxFTATBgNVBAoTDENPREUxMDAgUy5BLjELMAkGA1UEBhMCUFkxGDAWBgNVBAMTD0NBLUNPREUxMDAgUy5BLjCCAiIwDQYJKoZIhvcNAQEBBQADggIPADCCAgoCggIBAKq5cmDx8Vvk7dlXjYYKwdNRreQbj9K2Q3zBDwF+/vPMXXX8pPD+U3dIHr9BGoDy6M7UrZlXfexAGDzVgaTKlzJgZbkYFOYOKrN2fh1UnTPnStJsIjHywqpPqrW0y5rRm3preND4LMJhjmB0YSIp6LT8Nd5FvOtn/G2eBMZD1vFGooZ8p135TkWSGhTfNwssEYaLxWxFSnC8ntX+rfzBh0v9bx/iS2oRpvqLqTyOXvtgaTmUcGOMmzwRUnuQqRaHe7EQJMtYSnFKB8QZbxhnMSmhc3wxAcrO+mOruL/FO153UvU6uEJUP4uxjggxxyxcIWwQX40/TMWauVhG68YjIUZJBXJMSbO9AewBmKnWSWkZqD2ZTwg6fPew0cBOSsk2AvlA6w++ID+31F8uSm6OOxG/u9q3a7kHdfsH1N+tQBBdhuUr8+IcwNIgy4kkVQsNyF9jxwPimQHUXWTHnMxug0zb/+UyPX5U24dzq1FrMHneKi+m7fZYjPO3eN1FB/0ZhTqphfEM8QT8XHaPSxY+U8raBZnWqjZhCT5Xx02cmlHYZ/O4w7us9KKaMfLrMxioE8CdJsyTkN1K6z/Bd31FVPSfKJZBZ+4iAj6Wfa4sRci8KhB9tS9Tp4AeSY/yaf6OSh1FZSgaJ8UpCCJjX8BIlToDHyASJxtaR7AItaeD5p4XAgMBAAGjggJDMIICPzASBgNVHRMBAf8ECDAGAQH/AgEAMA4GA1UdDwEB/wQEAwIBBjAdBgNVHQ4EFgQUJ/baOwt/k/hZEtAVqkLPspaWPUUwHwYDVR0jBBgwFoAUwsQR8ipoRAwAKOxM1inbkvtevdYwegYIKwYBBQUHAQEEbjBsMD4GCCsGAQUFBzAChjJodHRwOi8vd3d3LmFjcmFpei5nb3YucHkvY3J0L2FjX3JhaXpfcHlfc2hhMjU2LmNydDAqBggrBgEFBQcwAYYeaHR0cDovL2NhMS5jb2RlMTAwLmNvbS5weS9vY3NwMIIBHQYDVR0gBIIBFDCCARAwggEMBgNVHSAwggEDMDYGCCsGAQUFBwIBFipodHRwOi8vd3d3LmFjcmFpei5nb3YucHkvY3BzL3BvbGl0aWNhcy5wZGYwZgYIKwYBBQUHAgIwWhpYQ2VydGlmaWNhZG9zIGVtaXRpZG9zIGRlbnRybyBkZWwgbWFyY28gZGUgbGEgUEtJIFBhcmFndWF5IGJham8gbGEgamVyYXJxdWlhIGRlIHN1IEFDUmFpejBhBggrBgEFBQcCAjBVGlNJc3N1ZWQgQ2VydGlmaWNhdGVzIGluIHRoZSBzY29wZSBvZiB0aGUgUEtJIFBhcmFndWF5IHVuZGVyIHRoZSBoaWVyYWNoeSBvZiBST09UIENBLjA8BgNVHR8ENTAzMDGgL6AthitodHRwOi8vd3d3LmFjcmFpei5nb3YucHkvYXJsL2FjX3JhaXpfcHkuY3JsMA0GCSqGSIb3DQEBCwUAA4ICAQCYwoeertzB7Um4In9wdg4uUvBU1DnivQWVaUJheeX5Bx81Mx60cu54IrwRC8o9AdgyV3aZiy+cWd8hBoX8ItgqJmxk4PwUT1802eP/ftLurBdCbAQv0lL81sDN00qtSo8LuqKv7ShZ5yYmrF6mEYJJYZ6AmCA5ji0nQ204rP7GKn3aA2wRy9DQ0WcAHB5YXVj4ihPMPWRf1y+zdDVEAJl2w2lmaBWPpg2Q/fIssSosmQozlHgb7HuVTLluHfZLdGiwq/pIk89qaoTpZs8s/ni2jMFvTx/3DHnY3Dz6s5kRDw2whrIjoV6xMDLJe3bm+rXKi2pGddUsqNrb6lCTUwN6bC0xIhwjRRxrBO9CMnj/8YT1GmR9kHKgP08tcyDSWk+woSoflKL/mlOkZf5o8TLTtSDeA87MMT0n18CWxzSLpkF97WXmJ8JGqTFDk1efqogYP6oanP9QvVUNGyEJw6DmGHEW3c29XaL1j/F4DTRCGEH2anQtpL6nV0l+mJ/hsDzPpPt92VilM4GdPZvk10JQ/yzj4+uNB9wozKLy427qbe6se/VaHa3iyutnxRP9sPEqHWfP/fm5u/e0PC9/JsjE89zti8rxEUK3hES0cSaLsCXpPKXPViaZI+1FeCtG9q2Deesy9diKtRnVZ1/ozb1rdfsug6BLWG4AsBnG3zduX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DsW2XO+u47oD3o7o5fc4gf2IPRk39nA4EQdmo8rdx9c=</DigestValue>
    </Reference>
    <Reference Type="http://www.w3.org/2000/09/xmldsig#Object" URI="#idOfficeObject">
      <DigestMethod Algorithm="http://www.w3.org/2001/04/xmlenc#sha256"/>
      <DigestValue>I/0qyPnqK3232XPaM+UkgY+JwiWHlCBIwewALkJk3XU=</DigestValue>
    </Reference>
    <Reference Type="http://uri.etsi.org/01903#SignedProperties" URI="#idSignedProperties">
      <Transforms>
        <Transform Algorithm="http://www.w3.org/TR/2001/REC-xml-c14n-20010315"/>
      </Transforms>
      <DigestMethod Algorithm="http://www.w3.org/2001/04/xmlenc#sha256"/>
      <DigestValue>fA8zCkEnfh54iSC5qfVIBCxbcP5DNidUxS1NJmRDQO8=</DigestValue>
    </Reference>
  </SignedInfo>
  <SignatureValue>LC8ZyMbw8Tqof0lWRvCepesR9eGT1zrgzQqC66G1fDOK53LOr8hC1s00hcB3RoytkTulr+NGIx0C
0tx6GEwhZkKWyDAKjRauq0i52RtEzRVjrd5n5s2ii9Wrota6yu9e096CCrAN9QV9Awq82xbUtu2H
5M0Yj4+qXVZfvfRJHl42xwJ62L3gUWrteDO0yE6aEeWR5AQ4diJfJ0jv2dWpFEQfidCz7AX/vRKQ
3WEonTU41cu9wn+W5jKz5SngSRvRZTMX8jihwsS7wmLt+RzPuib9t/2XLAd4ZyyDrw/6Tn7nc0+g
xs1yqXsfFWVNzZS8u+eNtON6ivHXa17wJwPYPw==</SignatureValue>
  <KeyInfo>
    <X509Data>
      <X509Certificate>MIIHzjCCBbagAwIBAgIQL7XpHmPRuchin226JlbAVzANBgkqhkiG9w0BAQsFADBPMRcwFQYDVQQFEw5SVUMgODAwODAwOTktMDELMAkGA1UEBhMCUFkxETAPBgNVBAoMCFZJVCBTLkEuMRQwEgYDVQQDEwtDQS1WSVQgUy5BLjAeFw0yMjA2MDcxNTI0NDJaFw0yNDA2MDcxNTI0NDJaMIGlMRYwFAYDVQQqDA1EQU5JRUwgQU5EUkVTMRcwFQYDVQQEDA5NT1JFTk8gQk9HQVJJTjESMBAGA1UEBRMJQ0kxMDEyODI1MSUwIwYDVQQDDBxEQU5JRUwgQU5EUkVTIE1PUkVOTyBCT0dBUklOMREwDwYDVQQLDAhGSVJNQSBGMjEXMBUGA1UECgwOUEVSU09OQSBGSVNJQ0ExCzAJBgNVBAYTAlBZMIIBIjANBgkqhkiG9w0BAQEFAAOCAQ8AMIIBCgKCAQEAuRNzv8CdocoOQsAA26dRPkZNawmuV0R95x/Q6aKtzipJodEiww+U7wir+hKSfLrpYFmt1RjKpFpUpQtr/kZPejR4olEsFn3cHqnMa7pivFLG0/qQlOWTN3Lhu2YQUyI0MPwXk3QxVc2OKZxw1DFdS11Z0Vue9YGsHnrUUbDE5jZgIlkN/E1P+PzSMuFYQxlXIbuadtlUh/e+G9UqqU+gYoODyWMpLJSitCsn5dfOAZgxoDxMXlDNTadrCvBhiWTEFx0EP6B3iJZn4WsuB+yaZTc1G2vXWdpwtXcVU9eIqzNG72OfXX3G9tP62TVDDWwwTO0jCpPLv+/YihPBwvngawIDAQABo4IDTTCCA0kwDAYDVR0TAQH/BAIwADAOBgNVHQ8BAf8EBAMCBeAwLAYDVR0lAQH/BCIwIAYIKwYBBQUHAwQGCCsGAQUFBwMCBgorBgEEAYI3FAICMB0GA1UdDgQWBBRdOFaaIbDK/Fqdy8VH8JYmtnKkKT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MGA1UdEQQcMBqBGERBTklFTE1PUkVOTzc2QEdNQUlMLkNPTTB2BggrBgEFBQcBAQRqMGgwKAYIKwYBBQUHMAGGHGh0dHBzOi8vd3d3LmVmaXJtYS5jb20ucHkvdmEwPAYIKwYBBQUHMAKGMGh0dHBzOi8vd3d3LmVmaXJtYS5jb20ucHkvcmVwb3NpdG9yaW8vZWZpcm1hLmNydDBCBgNVHR8EOzA5MDegNaAzhjFodHRwczovL3d3dy5lZmlybWEuY29tLnB5L3JlcG9zaXRvcmlvL2VmaXJtYTEuY3JsMA0GCSqGSIb3DQEBCwUAA4ICAQARmhN8V4KxD0p7Zkr78CLtgXL3zW1oCuIgRWVNfgNOmiQ1bBF9EbtGHLQuH24wshZMBUXgHrGDxTiCqIgGg5zGsB0mmw5FbK7MaZ+hs3abdZZyriDBOkQDyGCBI/CdwYcNSOwolACXY1owmCz/XACWerMInMt5SXtTymyElxEjMK//fIBws3UNKEBj/i5MGndZtXRSz++nxv3HjvC5FpRHEDz8lYb/7x6k3XfSQNDdWgnn9Z5VPQjTqrN3SmyKbTNjwgL9gkKcp9YG5zE5gePNuRNbI5mgQ1AxyHT3fq4dhZtMz2VnOhF0/xqVM03OdUzdxUmrcDO7gknYYiUjCdHtHkqbC6BGzkI0MMDDAhg/HJpmQ52Q5vaqm/D2cYsWRIM3r6esppgLMWuxtMOs2g0S3oAzC3NhHB0iI2+Ud4sx2E9XlP9HJyPjZwP86KubviPgtE0a+9X3DgNY2LOoI2F0BcUkasCm3xDCevKSyn0B3e2jCl7gOLJApBPydBliNBsNYmE7v33f/A+DN9CoZ4pUlIV8jsPRLUsOoAsZH3Ut6yd7NrIAl/uy1Z9nFGNW/2dFCAap3MIAAHase0I/OaSfSOLKc8GuGLCUS+xZu64m+qtw7Evlef4KS7oajLAcWLGBD+1brwdrSPHbTbE9N2MQRNZYKAX+ZGjZzOdthQVhr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RHv6wvths29Dpm97gH9cbkxvm1Y1+u5BI6UHi+LfgBw=</DigestValue>
      </Reference>
      <Reference URI="/xl/calcChain.xml?ContentType=application/vnd.openxmlformats-officedocument.spreadsheetml.calcChain+xml">
        <DigestMethod Algorithm="http://www.w3.org/2001/04/xmlenc#sha256"/>
        <DigestValue>qETrJTYZpSOmBbwTA4fSrLtSzbKh8PoAPQTPC0+3Pfg=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jfeAp47uuyGZ9oZm9JeLagr0mWk+87DFKncOsEVuQMg=</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uddxIKmwGLrA2jX81QaOOrY4Rt4Pb1MYfOTE9lQj01g=</DigestValue>
      </Reference>
      <Reference URI="/xl/styles.xml?ContentType=application/vnd.openxmlformats-officedocument.spreadsheetml.styles+xml">
        <DigestMethod Algorithm="http://www.w3.org/2001/04/xmlenc#sha256"/>
        <DigestValue>w+LDpU3cZ6B7KCpiRcoRCzYvLzzTy6VQksNQxN4JoDk=</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M9+/08IwIX+aTYuFet8d7LOaiOXfgBGxInIdf4LGRHk=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VSPGFcJjHIlXUi+5Lvix822Fkmov3s9DfCwPuWymeyU=</DigestValue>
      </Reference>
      <Reference URI="/xl/worksheets/sheet10.xml?ContentType=application/vnd.openxmlformats-officedocument.spreadsheetml.worksheet+xml">
        <DigestMethod Algorithm="http://www.w3.org/2001/04/xmlenc#sha256"/>
        <DigestValue>Cm7mcTRlpPZCWrkEVsHzhOSrVEC2mg6pGsoa8cmQJRI=</DigestValue>
      </Reference>
      <Reference URI="/xl/worksheets/sheet11.xml?ContentType=application/vnd.openxmlformats-officedocument.spreadsheetml.worksheet+xml">
        <DigestMethod Algorithm="http://www.w3.org/2001/04/xmlenc#sha256"/>
        <DigestValue>FW1X0wfQiauS5rJ6eL2yXYluKCEUdFtB3I8XJS+xLhg=</DigestValue>
      </Reference>
      <Reference URI="/xl/worksheets/sheet12.xml?ContentType=application/vnd.openxmlformats-officedocument.spreadsheetml.worksheet+xml">
        <DigestMethod Algorithm="http://www.w3.org/2001/04/xmlenc#sha256"/>
        <DigestValue>EL0WtH7Mj+ArRLah2KJJ/aAOrY+GJtzZ/ZICEtjdQRk=</DigestValue>
      </Reference>
      <Reference URI="/xl/worksheets/sheet13.xml?ContentType=application/vnd.openxmlformats-officedocument.spreadsheetml.worksheet+xml">
        <DigestMethod Algorithm="http://www.w3.org/2001/04/xmlenc#sha256"/>
        <DigestValue>hTK73nSwtwSJ/9Vl5+qR6Z2uNNZDMxNYIZ/r5kAoHOc=</DigestValue>
      </Reference>
      <Reference URI="/xl/worksheets/sheet14.xml?ContentType=application/vnd.openxmlformats-officedocument.spreadsheetml.worksheet+xml">
        <DigestMethod Algorithm="http://www.w3.org/2001/04/xmlenc#sha256"/>
        <DigestValue>Z6InBP94UkwDPqXwAN/ygpSduU1DsTPZon03GWlbgw0=</DigestValue>
      </Reference>
      <Reference URI="/xl/worksheets/sheet2.xml?ContentType=application/vnd.openxmlformats-officedocument.spreadsheetml.worksheet+xml">
        <DigestMethod Algorithm="http://www.w3.org/2001/04/xmlenc#sha256"/>
        <DigestValue>+z7D4VHs04A04NSrZ4sYZtahrytx4hPbo/7ORf8TKQM=</DigestValue>
      </Reference>
      <Reference URI="/xl/worksheets/sheet3.xml?ContentType=application/vnd.openxmlformats-officedocument.spreadsheetml.worksheet+xml">
        <DigestMethod Algorithm="http://www.w3.org/2001/04/xmlenc#sha256"/>
        <DigestValue>5rNBUs7yvJt9N4/pa0IxoH36C9B8y59OhRHN3i6WSvM=</DigestValue>
      </Reference>
      <Reference URI="/xl/worksheets/sheet4.xml?ContentType=application/vnd.openxmlformats-officedocument.spreadsheetml.worksheet+xml">
        <DigestMethod Algorithm="http://www.w3.org/2001/04/xmlenc#sha256"/>
        <DigestValue>tHFwofuSLe+1CuqPfOQ4azo+n6qnIvqEUTUfhsTx4ZY=</DigestValue>
      </Reference>
      <Reference URI="/xl/worksheets/sheet5.xml?ContentType=application/vnd.openxmlformats-officedocument.spreadsheetml.worksheet+xml">
        <DigestMethod Algorithm="http://www.w3.org/2001/04/xmlenc#sha256"/>
        <DigestValue>6yr/yS84PHZ8sMv2Z7MrW4Zf3bhwryVkf2t9sNcUFz4=</DigestValue>
      </Reference>
      <Reference URI="/xl/worksheets/sheet6.xml?ContentType=application/vnd.openxmlformats-officedocument.spreadsheetml.worksheet+xml">
        <DigestMethod Algorithm="http://www.w3.org/2001/04/xmlenc#sha256"/>
        <DigestValue>e0XqetKLd57sq+xqGxt/yPfYUpnSdl7vNiCgbyAWoUY=</DigestValue>
      </Reference>
      <Reference URI="/xl/worksheets/sheet7.xml?ContentType=application/vnd.openxmlformats-officedocument.spreadsheetml.worksheet+xml">
        <DigestMethod Algorithm="http://www.w3.org/2001/04/xmlenc#sha256"/>
        <DigestValue>OswwI/A9qsLy9To1Ou6T2obDjL2WBIvcfukDakU7PtM=</DigestValue>
      </Reference>
      <Reference URI="/xl/worksheets/sheet8.xml?ContentType=application/vnd.openxmlformats-officedocument.spreadsheetml.worksheet+xml">
        <DigestMethod Algorithm="http://www.w3.org/2001/04/xmlenc#sha256"/>
        <DigestValue>suahXPvox64ybIisjKliiEkcJftf2qa/6k0NQ1JQjKI=</DigestValue>
      </Reference>
      <Reference URI="/xl/worksheets/sheet9.xml?ContentType=application/vnd.openxmlformats-officedocument.spreadsheetml.worksheet+xml">
        <DigestMethod Algorithm="http://www.w3.org/2001/04/xmlenc#sha256"/>
        <DigestValue>LoPlZHsixuIJ8hbHez0k7tcnRFtzdYcER4aHu46BUko=</DigestValue>
      </Reference>
    </Manifest>
    <SignatureProperties>
      <SignatureProperty Id="idSignatureTime" Target="#idPackageSignature">
        <mdssi:SignatureTime xmlns:mdssi="http://schemas.openxmlformats.org/package/2006/digital-signature">
          <mdssi:Format>YYYY-MM-DDThh:mm:ssTZD</mdssi:Format>
          <mdssi:Value>2022-08-16T23:28:05Z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2022-08-16T23:28:05Z</xd:SigningTime>
          <xd:SigningCertificate>
            <xd:Cert>
              <xd:CertDigest>
                <DigestMethod Algorithm="http://www.w3.org/2001/04/xmlenc#sha256"/>
                <DigestValue>8uHdl/n7i8782z2nH7JLdbT94ygLsx4FAHi12soOtsg=</DigestValue>
              </xd:CertDigest>
              <xd:IssuerSerial>
                <X509IssuerName>CN=CA-VIT S.A., O=VIT S.A., C=PY, SERIALNUMBER=RUC 80080099-0</X509IssuerName>
                <X509SerialNumber>63418249742460934897249143495463452759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CARATULA </vt:lpstr>
      <vt:lpstr>Información General</vt:lpstr>
      <vt:lpstr>Balance General</vt:lpstr>
      <vt:lpstr>Estado de Resultados</vt:lpstr>
      <vt:lpstr>Variación PN</vt:lpstr>
      <vt:lpstr>Flujo de Efectivo</vt:lpstr>
      <vt:lpstr>Notas a los EEFF</vt:lpstr>
      <vt:lpstr>Anexo 5a-5c</vt:lpstr>
      <vt:lpstr>Anexo 5d-5h</vt:lpstr>
      <vt:lpstr>Anexo 5i-5m</vt:lpstr>
      <vt:lpstr>Anexo 5n-5r</vt:lpstr>
      <vt:lpstr>Anexo 5s-5w</vt:lpstr>
      <vt:lpstr>Anexo 5x-5z</vt:lpstr>
      <vt:lpstr>Notas 6-11</vt:lpstr>
      <vt:lpstr>'Notas 6-11'!_Hlk47083218</vt:lpstr>
      <vt:lpstr>'Notas a los EEFF'!Área_de_impresión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Fernando.- Villamayor</cp:lastModifiedBy>
  <cp:lastPrinted>2022-03-23T14:26:34Z</cp:lastPrinted>
  <dcterms:created xsi:type="dcterms:W3CDTF">2020-08-05T19:03:26Z</dcterms:created>
  <dcterms:modified xsi:type="dcterms:W3CDTF">2022-08-16T23:29:22Z</dcterms:modified>
  <cp:contentStatus/>
</cp:coreProperties>
</file>