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3"/>
  <workbookPr/>
  <mc:AlternateContent xmlns:mc="http://schemas.openxmlformats.org/markup-compatibility/2006">
    <mc:Choice Requires="x15">
      <x15ac:absPath xmlns:x15ac="http://schemas.microsoft.com/office/spreadsheetml/2010/11/ac" url="C:\Users\soporte\Desktop\Contabilidad\Balance\2022\4to Trimestre\"/>
    </mc:Choice>
  </mc:AlternateContent>
  <xr:revisionPtr revIDLastSave="0" documentId="8_{6644AAC2-A3DC-425F-B1BB-9F74824342A7}" xr6:coauthVersionLast="47" xr6:coauthVersionMax="47" xr10:uidLastSave="{00000000-0000-0000-0000-000000000000}"/>
  <bookViews>
    <workbookView xWindow="0" yWindow="0" windowWidth="20490" windowHeight="7620" tabRatio="888" firstSheet="10" activeTab="10" xr2:uid="{00000000-000D-0000-FFFF-FFFF00000000}"/>
  </bookViews>
  <sheets>
    <sheet name="CARATULA " sheetId="16" r:id="rId1"/>
    <sheet name="Información General" sheetId="17" r:id="rId2"/>
    <sheet name="Balance General" sheetId="3" r:id="rId3"/>
    <sheet name="Estado de Resultados" sheetId="4" r:id="rId4"/>
    <sheet name="Variación PN" sheetId="15" r:id="rId5"/>
    <sheet name="Flujo de Efectivo" sheetId="5" r:id="rId6"/>
    <sheet name="Notas a los EEFF" sheetId="7" r:id="rId7"/>
    <sheet name="Anexo 5a-5c" sheetId="8" r:id="rId8"/>
    <sheet name="Anexo 5d-5h" sheetId="9" r:id="rId9"/>
    <sheet name="Anexo 5i-5m" sheetId="10" r:id="rId10"/>
    <sheet name="Anexo 5n-5r" sheetId="11" r:id="rId11"/>
    <sheet name="Anexo 5s-5w" sheetId="12" r:id="rId12"/>
    <sheet name="Anexo 5x-5z" sheetId="13" r:id="rId13"/>
    <sheet name="Notas 6-11" sheetId="14" r:id="rId14"/>
  </sheets>
  <definedNames>
    <definedName name="_Hlk47006462" localSheetId="2">'Balance General'!#REF!</definedName>
    <definedName name="_Hlk47083218" localSheetId="13">'Notas 6-11'!$C$10</definedName>
    <definedName name="_xlnm.Print_Area" localSheetId="6">'Notas a los EEFF'!$A$1:$B$41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7" l="1"/>
  <c r="L246" i="17"/>
  <c r="I246" i="17"/>
  <c r="K246" i="17" s="1"/>
  <c r="L245" i="17"/>
  <c r="I245" i="17"/>
  <c r="K245" i="17" s="1"/>
  <c r="L244" i="17"/>
  <c r="I244" i="17"/>
  <c r="K244" i="17" s="1"/>
  <c r="L243" i="17"/>
  <c r="I243" i="17"/>
  <c r="K243" i="17" s="1"/>
  <c r="L242" i="17"/>
  <c r="I242" i="17"/>
  <c r="K242" i="17" s="1"/>
  <c r="L241" i="17"/>
  <c r="I241" i="17"/>
  <c r="K241" i="17" s="1"/>
  <c r="L240" i="17"/>
  <c r="L239" i="17"/>
  <c r="I239" i="17"/>
  <c r="K239" i="17" s="1"/>
  <c r="J238" i="17"/>
  <c r="I238" i="17"/>
  <c r="K238" i="17" s="1"/>
  <c r="L237" i="17"/>
  <c r="I237" i="17"/>
  <c r="K237" i="17" s="1"/>
  <c r="L236" i="17"/>
  <c r="I236" i="17"/>
  <c r="K236" i="17" s="1"/>
  <c r="L235" i="17"/>
  <c r="I235" i="17"/>
  <c r="K235" i="17" s="1"/>
  <c r="L234" i="17"/>
  <c r="I234" i="17"/>
  <c r="K234" i="17" s="1"/>
  <c r="L233" i="17"/>
  <c r="I233" i="17"/>
  <c r="K233" i="17" s="1"/>
  <c r="L232" i="17"/>
  <c r="I232" i="17"/>
  <c r="K232" i="17" s="1"/>
  <c r="L231" i="17"/>
  <c r="I231" i="17"/>
  <c r="K231" i="17" s="1"/>
  <c r="L230" i="17"/>
  <c r="I230" i="17"/>
  <c r="K230" i="17" s="1"/>
  <c r="L229" i="17"/>
  <c r="I229" i="17"/>
  <c r="K229" i="17" s="1"/>
  <c r="L228" i="17"/>
  <c r="I228" i="17"/>
  <c r="K228" i="17" s="1"/>
  <c r="L227" i="17"/>
  <c r="I227" i="17"/>
  <c r="K227" i="17" s="1"/>
  <c r="L226" i="17"/>
  <c r="I226" i="17"/>
  <c r="K226" i="17" s="1"/>
  <c r="L225" i="17"/>
  <c r="I225" i="17"/>
  <c r="K225" i="17" s="1"/>
  <c r="L224" i="17"/>
  <c r="I224" i="17"/>
  <c r="K224" i="17" s="1"/>
  <c r="G224" i="17"/>
  <c r="F230" i="17" s="1"/>
  <c r="G230" i="17" s="1"/>
  <c r="F231" i="17" s="1"/>
  <c r="G231" i="17" s="1"/>
  <c r="F232" i="17" s="1"/>
  <c r="G232" i="17" s="1"/>
  <c r="F233" i="17" s="1"/>
  <c r="G233" i="17" s="1"/>
  <c r="F234" i="17" s="1"/>
  <c r="G234" i="17" s="1"/>
  <c r="F235" i="17" s="1"/>
  <c r="G235" i="17" s="1"/>
  <c r="F236" i="17" s="1"/>
  <c r="G236" i="17" s="1"/>
  <c r="F237" i="17" s="1"/>
  <c r="G237" i="17" s="1"/>
  <c r="F238" i="17" s="1"/>
  <c r="G238" i="17" s="1"/>
  <c r="F239" i="17" s="1"/>
  <c r="G239" i="17" s="1"/>
  <c r="F240" i="17" s="1"/>
  <c r="G240" i="17" s="1"/>
  <c r="F241" i="17" s="1"/>
  <c r="G241" i="17" s="1"/>
  <c r="F242" i="17" s="1"/>
  <c r="G242" i="17" s="1"/>
  <c r="F243" i="17" s="1"/>
  <c r="G243" i="17" s="1"/>
  <c r="F244" i="17" s="1"/>
  <c r="G244" i="17" s="1"/>
  <c r="F245" i="17" s="1"/>
  <c r="G245" i="17" s="1"/>
  <c r="F246" i="17" s="1"/>
  <c r="G246" i="17" s="1"/>
  <c r="L223" i="17"/>
  <c r="I223" i="17"/>
  <c r="K223" i="17" s="1"/>
  <c r="L222" i="17"/>
  <c r="I222" i="17"/>
  <c r="K222" i="17" s="1"/>
  <c r="L221" i="17"/>
  <c r="I221" i="17"/>
  <c r="K221" i="17" s="1"/>
  <c r="L220" i="17"/>
  <c r="I220" i="17"/>
  <c r="K220" i="17" s="1"/>
  <c r="L219" i="17"/>
  <c r="I219" i="17"/>
  <c r="K219" i="17" s="1"/>
  <c r="L218" i="17"/>
  <c r="I218" i="17"/>
  <c r="K218" i="17" s="1"/>
  <c r="L217" i="17"/>
  <c r="I217" i="17"/>
  <c r="K217" i="17" s="1"/>
  <c r="L216" i="17"/>
  <c r="I216" i="17"/>
  <c r="K216" i="17" s="1"/>
  <c r="L215" i="17"/>
  <c r="I215" i="17"/>
  <c r="K215" i="17" s="1"/>
  <c r="L214" i="17"/>
  <c r="I214" i="17"/>
  <c r="K214" i="17" s="1"/>
  <c r="L213" i="17"/>
  <c r="I213" i="17"/>
  <c r="K213" i="17" s="1"/>
  <c r="L212" i="17"/>
  <c r="I212" i="17"/>
  <c r="K212" i="17" s="1"/>
  <c r="L211" i="17"/>
  <c r="I211" i="17"/>
  <c r="K211" i="17" s="1"/>
  <c r="L210" i="17"/>
  <c r="I210" i="17"/>
  <c r="K210" i="17" s="1"/>
  <c r="L209" i="17"/>
  <c r="I209" i="17"/>
  <c r="K209" i="17" s="1"/>
  <c r="L208" i="17"/>
  <c r="I208" i="17"/>
  <c r="K208" i="17" s="1"/>
  <c r="L207" i="17"/>
  <c r="I207" i="17"/>
  <c r="K207" i="17" s="1"/>
  <c r="L206" i="17"/>
  <c r="I206" i="17"/>
  <c r="K206" i="17" s="1"/>
  <c r="L205" i="17"/>
  <c r="I205" i="17"/>
  <c r="K205" i="17" s="1"/>
  <c r="L204" i="17"/>
  <c r="I204" i="17"/>
  <c r="K204" i="17" s="1"/>
  <c r="L203" i="17"/>
  <c r="I203" i="17"/>
  <c r="K203" i="17" s="1"/>
  <c r="L202" i="17"/>
  <c r="I202" i="17"/>
  <c r="K202" i="17" s="1"/>
  <c r="L201" i="17"/>
  <c r="I201" i="17"/>
  <c r="K201" i="17" s="1"/>
  <c r="L200" i="17"/>
  <c r="I200" i="17"/>
  <c r="K200" i="17" s="1"/>
  <c r="L199" i="17"/>
  <c r="I199" i="17"/>
  <c r="K199" i="17" s="1"/>
  <c r="L198" i="17"/>
  <c r="I198" i="17"/>
  <c r="K198" i="17" s="1"/>
  <c r="L197" i="17"/>
  <c r="I197" i="17"/>
  <c r="K197" i="17" s="1"/>
  <c r="L196" i="17"/>
  <c r="I196" i="17"/>
  <c r="K196" i="17" s="1"/>
  <c r="L195" i="17"/>
  <c r="I195" i="17"/>
  <c r="K195" i="17" s="1"/>
  <c r="L194" i="17"/>
  <c r="I194" i="17"/>
  <c r="K194" i="17" s="1"/>
  <c r="L193" i="17"/>
  <c r="I193" i="17"/>
  <c r="K193" i="17" s="1"/>
  <c r="L192" i="17"/>
  <c r="I192" i="17"/>
  <c r="K192" i="17" s="1"/>
  <c r="L191" i="17"/>
  <c r="I191" i="17"/>
  <c r="K191" i="17" s="1"/>
  <c r="L190" i="17"/>
  <c r="I190" i="17"/>
  <c r="K190" i="17" s="1"/>
  <c r="L189" i="17"/>
  <c r="I189" i="17"/>
  <c r="K189" i="17" s="1"/>
  <c r="L188" i="17"/>
  <c r="I188" i="17"/>
  <c r="K188" i="17" s="1"/>
  <c r="L187" i="17"/>
  <c r="I187" i="17"/>
  <c r="K187" i="17" s="1"/>
  <c r="L186" i="17"/>
  <c r="I186" i="17"/>
  <c r="K186" i="17" s="1"/>
  <c r="L185" i="17"/>
  <c r="I185" i="17"/>
  <c r="K185" i="17" s="1"/>
  <c r="L184" i="17"/>
  <c r="I184" i="17"/>
  <c r="K184" i="17" s="1"/>
  <c r="L183" i="17"/>
  <c r="I183" i="17"/>
  <c r="K183" i="17" s="1"/>
  <c r="L182" i="17"/>
  <c r="I182" i="17"/>
  <c r="K182" i="17" s="1"/>
  <c r="L181" i="17"/>
  <c r="I181" i="17"/>
  <c r="K181" i="17" s="1"/>
  <c r="L180" i="17"/>
  <c r="I180" i="17"/>
  <c r="K180" i="17" s="1"/>
  <c r="L179" i="17"/>
  <c r="I179" i="17"/>
  <c r="K179" i="17" s="1"/>
  <c r="L178" i="17"/>
  <c r="I178" i="17"/>
  <c r="K178" i="17" s="1"/>
  <c r="L177" i="17"/>
  <c r="I177" i="17"/>
  <c r="K177" i="17" s="1"/>
  <c r="L176" i="17"/>
  <c r="I176" i="17"/>
  <c r="K176" i="17" s="1"/>
  <c r="L175" i="17"/>
  <c r="I175" i="17"/>
  <c r="K175" i="17" s="1"/>
  <c r="L174" i="17"/>
  <c r="I174" i="17"/>
  <c r="K174" i="17" s="1"/>
  <c r="L173" i="17"/>
  <c r="I173" i="17"/>
  <c r="K173" i="17" s="1"/>
  <c r="L172" i="17"/>
  <c r="I172" i="17"/>
  <c r="K172" i="17" s="1"/>
  <c r="L171" i="17"/>
  <c r="I171" i="17"/>
  <c r="K171" i="17" s="1"/>
  <c r="L170" i="17"/>
  <c r="I170" i="17"/>
  <c r="K170" i="17" s="1"/>
  <c r="L169" i="17"/>
  <c r="I169" i="17"/>
  <c r="K169" i="17" s="1"/>
  <c r="L168" i="17"/>
  <c r="I168" i="17"/>
  <c r="K168" i="17" s="1"/>
  <c r="L167" i="17"/>
  <c r="I167" i="17"/>
  <c r="K167" i="17" s="1"/>
  <c r="L166" i="17"/>
  <c r="I166" i="17"/>
  <c r="K166" i="17" s="1"/>
  <c r="L165" i="17"/>
  <c r="I165" i="17"/>
  <c r="K165" i="17" s="1"/>
  <c r="L164" i="17"/>
  <c r="I164" i="17"/>
  <c r="K164" i="17" s="1"/>
  <c r="L163" i="17"/>
  <c r="I163" i="17"/>
  <c r="K163" i="17" s="1"/>
  <c r="L162" i="17"/>
  <c r="I162" i="17"/>
  <c r="K162" i="17" s="1"/>
  <c r="L161" i="17"/>
  <c r="I161" i="17"/>
  <c r="K161" i="17" s="1"/>
  <c r="L160" i="17"/>
  <c r="I160" i="17"/>
  <c r="K160" i="17" s="1"/>
  <c r="L159" i="17"/>
  <c r="I159" i="17"/>
  <c r="K159" i="17" s="1"/>
  <c r="L158" i="17"/>
  <c r="I158" i="17"/>
  <c r="K158" i="17" s="1"/>
  <c r="L157" i="17"/>
  <c r="I157" i="17"/>
  <c r="K157" i="17" s="1"/>
  <c r="L156" i="17"/>
  <c r="I156" i="17"/>
  <c r="K156" i="17" s="1"/>
  <c r="L155" i="17"/>
  <c r="I155" i="17"/>
  <c r="K155" i="17" s="1"/>
  <c r="L154" i="17"/>
  <c r="I154" i="17"/>
  <c r="K154" i="17" s="1"/>
  <c r="L153" i="17"/>
  <c r="I153" i="17"/>
  <c r="K153" i="17" s="1"/>
  <c r="L152" i="17"/>
  <c r="I152" i="17"/>
  <c r="K152" i="17" s="1"/>
  <c r="L151" i="17"/>
  <c r="I151" i="17"/>
  <c r="K151" i="17" s="1"/>
  <c r="L150" i="17"/>
  <c r="I150" i="17"/>
  <c r="K150" i="17" s="1"/>
  <c r="L149" i="17"/>
  <c r="I149" i="17"/>
  <c r="K149" i="17" s="1"/>
  <c r="L148" i="17"/>
  <c r="I148" i="17"/>
  <c r="K148" i="17" s="1"/>
  <c r="L147" i="17"/>
  <c r="I147" i="17"/>
  <c r="K147" i="17" s="1"/>
  <c r="L146" i="17"/>
  <c r="I146" i="17"/>
  <c r="K146" i="17" s="1"/>
  <c r="L145" i="17"/>
  <c r="I145" i="17"/>
  <c r="K145" i="17" s="1"/>
  <c r="L144" i="17"/>
  <c r="I144" i="17"/>
  <c r="K144" i="17" s="1"/>
  <c r="L143" i="17"/>
  <c r="I143" i="17"/>
  <c r="K143" i="17" s="1"/>
  <c r="L142" i="17"/>
  <c r="I142" i="17"/>
  <c r="K142" i="17" s="1"/>
  <c r="L141" i="17"/>
  <c r="I141" i="17"/>
  <c r="K141" i="17" s="1"/>
  <c r="L140" i="17"/>
  <c r="I140" i="17"/>
  <c r="K140" i="17" s="1"/>
  <c r="L139" i="17"/>
  <c r="I139" i="17"/>
  <c r="K139" i="17" s="1"/>
  <c r="L138" i="17"/>
  <c r="I138" i="17"/>
  <c r="K138" i="17" s="1"/>
  <c r="L137" i="17"/>
  <c r="I137" i="17"/>
  <c r="K137" i="17" s="1"/>
  <c r="L136" i="17"/>
  <c r="I136" i="17"/>
  <c r="K136" i="17" s="1"/>
  <c r="L135" i="17"/>
  <c r="I135" i="17"/>
  <c r="K135" i="17" s="1"/>
  <c r="L134" i="17"/>
  <c r="I134" i="17"/>
  <c r="K134" i="17" s="1"/>
  <c r="L133" i="17"/>
  <c r="I133" i="17"/>
  <c r="K133" i="17" s="1"/>
  <c r="L132" i="17"/>
  <c r="I132" i="17"/>
  <c r="K132" i="17" s="1"/>
  <c r="L131" i="17"/>
  <c r="I131" i="17"/>
  <c r="K131" i="17" s="1"/>
  <c r="L130" i="17"/>
  <c r="I130" i="17"/>
  <c r="K130" i="17" s="1"/>
  <c r="L129" i="17"/>
  <c r="I129" i="17"/>
  <c r="K129" i="17" s="1"/>
  <c r="L128" i="17"/>
  <c r="I128" i="17"/>
  <c r="K128" i="17" s="1"/>
  <c r="L127" i="17"/>
  <c r="I127" i="17"/>
  <c r="K127" i="17" s="1"/>
  <c r="L126" i="17"/>
  <c r="I126" i="17"/>
  <c r="K126" i="17" s="1"/>
  <c r="L125" i="17"/>
  <c r="I125" i="17"/>
  <c r="K125" i="17" s="1"/>
  <c r="L124" i="17"/>
  <c r="I124" i="17"/>
  <c r="K124" i="17" s="1"/>
  <c r="L123" i="17"/>
  <c r="I123" i="17"/>
  <c r="K123" i="17" s="1"/>
  <c r="L122" i="17"/>
  <c r="I122" i="17"/>
  <c r="K122" i="17" s="1"/>
  <c r="L121" i="17"/>
  <c r="I121" i="17"/>
  <c r="K121" i="17" s="1"/>
  <c r="L120" i="17"/>
  <c r="I120" i="17"/>
  <c r="K120" i="17" s="1"/>
  <c r="L119" i="17"/>
  <c r="I119" i="17"/>
  <c r="K119" i="17" s="1"/>
  <c r="L118" i="17"/>
  <c r="I118" i="17"/>
  <c r="K118" i="17" s="1"/>
  <c r="L117" i="17"/>
  <c r="I117" i="17"/>
  <c r="K117" i="17" s="1"/>
  <c r="L116" i="17"/>
  <c r="I116" i="17"/>
  <c r="K116" i="17" s="1"/>
  <c r="L115" i="17"/>
  <c r="I115" i="17"/>
  <c r="K115" i="17" s="1"/>
  <c r="L114" i="17"/>
  <c r="I114" i="17"/>
  <c r="K114" i="17" s="1"/>
  <c r="L113" i="17"/>
  <c r="I113" i="17"/>
  <c r="K113" i="17" s="1"/>
  <c r="L112" i="17"/>
  <c r="I112" i="17"/>
  <c r="K112" i="17" s="1"/>
  <c r="L111" i="17"/>
  <c r="I111" i="17"/>
  <c r="K111" i="17" s="1"/>
  <c r="L110" i="17"/>
  <c r="I110" i="17"/>
  <c r="K110" i="17" s="1"/>
  <c r="L109" i="17"/>
  <c r="I109" i="17"/>
  <c r="K109" i="17" s="1"/>
  <c r="L108" i="17"/>
  <c r="I108" i="17"/>
  <c r="K108" i="17" s="1"/>
  <c r="L107" i="17"/>
  <c r="I107" i="17"/>
  <c r="K107" i="17" s="1"/>
  <c r="L106" i="17"/>
  <c r="I106" i="17"/>
  <c r="K106" i="17" s="1"/>
  <c r="L105" i="17"/>
  <c r="I105" i="17"/>
  <c r="K105" i="17" s="1"/>
  <c r="L104" i="17"/>
  <c r="I104" i="17"/>
  <c r="K104" i="17" s="1"/>
  <c r="L103" i="17"/>
  <c r="I103" i="17"/>
  <c r="K103" i="17" s="1"/>
  <c r="L102" i="17"/>
  <c r="I102" i="17"/>
  <c r="K102" i="17" s="1"/>
  <c r="L101" i="17"/>
  <c r="I101" i="17"/>
  <c r="K101" i="17" s="1"/>
  <c r="L100" i="17"/>
  <c r="I100" i="17"/>
  <c r="K100" i="17" s="1"/>
  <c r="L99" i="17"/>
  <c r="I99" i="17"/>
  <c r="K99" i="17" s="1"/>
  <c r="L98" i="17"/>
  <c r="I98" i="17"/>
  <c r="K98" i="17" s="1"/>
  <c r="L97" i="17"/>
  <c r="I97" i="17"/>
  <c r="K97" i="17" s="1"/>
  <c r="L96" i="17"/>
  <c r="I96" i="17"/>
  <c r="K96" i="17" s="1"/>
  <c r="L95" i="17"/>
  <c r="I95" i="17"/>
  <c r="K95" i="17" s="1"/>
  <c r="L94" i="17"/>
  <c r="I94" i="17"/>
  <c r="K94" i="17" s="1"/>
  <c r="L93" i="17"/>
  <c r="I93" i="17"/>
  <c r="K93" i="17" s="1"/>
  <c r="L92" i="17"/>
  <c r="I92" i="17"/>
  <c r="K92" i="17" s="1"/>
  <c r="L91" i="17"/>
  <c r="I91" i="17"/>
  <c r="K91" i="17" s="1"/>
  <c r="L90" i="17"/>
  <c r="I90" i="17"/>
  <c r="K90" i="17" s="1"/>
  <c r="L89" i="17"/>
  <c r="I89" i="17"/>
  <c r="K89" i="17" s="1"/>
  <c r="L88" i="17"/>
  <c r="I88" i="17"/>
  <c r="K88" i="17" s="1"/>
  <c r="L87" i="17"/>
  <c r="I87" i="17"/>
  <c r="K87" i="17" s="1"/>
  <c r="L86" i="17"/>
  <c r="I86" i="17"/>
  <c r="K86" i="17" s="1"/>
  <c r="L85" i="17"/>
  <c r="I85" i="17"/>
  <c r="K85" i="17" s="1"/>
  <c r="L84" i="17"/>
  <c r="I84" i="17"/>
  <c r="K84" i="17" s="1"/>
  <c r="L83" i="17"/>
  <c r="I83" i="17"/>
  <c r="K83" i="17" s="1"/>
  <c r="L82" i="17"/>
  <c r="I82" i="17"/>
  <c r="K82" i="17" s="1"/>
  <c r="L81" i="17"/>
  <c r="I81" i="17"/>
  <c r="K81" i="17" s="1"/>
  <c r="L80" i="17"/>
  <c r="I80" i="17"/>
  <c r="K80" i="17" s="1"/>
  <c r="L79" i="17"/>
  <c r="I79" i="17"/>
  <c r="K79" i="17" s="1"/>
  <c r="L78" i="17"/>
  <c r="I78" i="17"/>
  <c r="K78" i="17" s="1"/>
  <c r="L77" i="17"/>
  <c r="I77" i="17"/>
  <c r="K77" i="17" s="1"/>
  <c r="L76" i="17"/>
  <c r="I76" i="17"/>
  <c r="K76" i="17" s="1"/>
  <c r="L75" i="17"/>
  <c r="I75" i="17"/>
  <c r="K75" i="17" s="1"/>
  <c r="L74" i="17"/>
  <c r="I74" i="17"/>
  <c r="K74" i="17" s="1"/>
  <c r="L73" i="17"/>
  <c r="I73" i="17"/>
  <c r="K73" i="17" s="1"/>
  <c r="L72" i="17"/>
  <c r="I72" i="17"/>
  <c r="K72" i="17" s="1"/>
  <c r="L71" i="17"/>
  <c r="I71" i="17"/>
  <c r="K71" i="17" s="1"/>
  <c r="L70" i="17"/>
  <c r="I70" i="17"/>
  <c r="K70" i="17" s="1"/>
  <c r="L69" i="17"/>
  <c r="I69" i="17"/>
  <c r="K69" i="17" s="1"/>
  <c r="L68" i="17"/>
  <c r="I68" i="17"/>
  <c r="K68" i="17" s="1"/>
  <c r="L67" i="17"/>
  <c r="I67" i="17"/>
  <c r="K67" i="17" s="1"/>
  <c r="L66" i="17"/>
  <c r="I66" i="17"/>
  <c r="K66" i="17" s="1"/>
  <c r="L65" i="17"/>
  <c r="I65" i="17"/>
  <c r="K65" i="17" s="1"/>
  <c r="L64" i="17"/>
  <c r="I64" i="17"/>
  <c r="K64" i="17" s="1"/>
  <c r="L63" i="17"/>
  <c r="I63" i="17"/>
  <c r="K63" i="17" s="1"/>
  <c r="J247" i="17" l="1"/>
  <c r="L238" i="17"/>
  <c r="L247" i="17" s="1"/>
  <c r="K247" i="17"/>
  <c r="D250" i="17" s="1"/>
  <c r="M127" i="17"/>
  <c r="M121" i="17"/>
  <c r="M119" i="17"/>
  <c r="M117" i="17"/>
  <c r="M115" i="17"/>
  <c r="M113" i="17"/>
  <c r="M111" i="17"/>
  <c r="M109" i="17"/>
  <c r="M107" i="17"/>
  <c r="M105" i="17"/>
  <c r="M103" i="17"/>
  <c r="M95" i="17"/>
  <c r="M91" i="17"/>
  <c r="M89" i="17"/>
  <c r="M87" i="17"/>
  <c r="M83" i="17"/>
  <c r="M81" i="17"/>
  <c r="M79" i="17"/>
  <c r="M77" i="17"/>
  <c r="M75" i="17"/>
  <c r="M243" i="17"/>
  <c r="M222" i="17"/>
  <c r="M220" i="17"/>
  <c r="M218" i="17"/>
  <c r="M216" i="17"/>
  <c r="M214" i="17"/>
  <c r="M212" i="17"/>
  <c r="M210" i="17"/>
  <c r="M208" i="17"/>
  <c r="M206" i="17"/>
  <c r="M204" i="17"/>
  <c r="M202" i="17"/>
  <c r="M200" i="17"/>
  <c r="M198" i="17"/>
  <c r="M196" i="17"/>
  <c r="M194" i="17"/>
  <c r="M192" i="17"/>
  <c r="M190" i="17"/>
  <c r="M188" i="17"/>
  <c r="M186" i="17"/>
  <c r="M184" i="17"/>
  <c r="M182" i="17"/>
  <c r="M180" i="17"/>
  <c r="M178" i="17"/>
  <c r="M176" i="17"/>
  <c r="M174" i="17"/>
  <c r="M172" i="17"/>
  <c r="M170" i="17"/>
  <c r="M168" i="17"/>
  <c r="M166" i="17"/>
  <c r="M164" i="17"/>
  <c r="M162" i="17"/>
  <c r="M160" i="17"/>
  <c r="M158" i="17"/>
  <c r="M156" i="17"/>
  <c r="M154" i="17"/>
  <c r="M152" i="17"/>
  <c r="M150" i="17"/>
  <c r="M148" i="17"/>
  <c r="M146" i="17"/>
  <c r="M144" i="17"/>
  <c r="M142" i="17"/>
  <c r="M140" i="17"/>
  <c r="M138" i="17"/>
  <c r="M136" i="17"/>
  <c r="M134" i="17"/>
  <c r="M132" i="17"/>
  <c r="M130" i="17"/>
  <c r="M128" i="17"/>
  <c r="M126" i="17"/>
  <c r="M124" i="17"/>
  <c r="M122" i="17"/>
  <c r="M120" i="17"/>
  <c r="M118" i="17"/>
  <c r="M116" i="17"/>
  <c r="M114" i="17"/>
  <c r="M112" i="17"/>
  <c r="M110" i="17"/>
  <c r="M108" i="17"/>
  <c r="M106" i="17"/>
  <c r="M104" i="17"/>
  <c r="M102" i="17"/>
  <c r="M100" i="17"/>
  <c r="M236" i="17"/>
  <c r="M232" i="17"/>
  <c r="M239" i="17"/>
  <c r="M84" i="17"/>
  <c r="M76" i="17"/>
  <c r="M237" i="17"/>
  <c r="M227" i="17"/>
  <c r="M92" i="17"/>
  <c r="M74" i="17"/>
  <c r="M246" i="17"/>
  <c r="M73" i="17"/>
  <c r="M71" i="17"/>
  <c r="M69" i="17"/>
  <c r="M67" i="17"/>
  <c r="M65" i="17"/>
  <c r="M63" i="17"/>
  <c r="M229" i="17"/>
  <c r="M94" i="17"/>
  <c r="M86" i="17"/>
  <c r="M78" i="17"/>
  <c r="M80" i="17"/>
  <c r="M98" i="17"/>
  <c r="M90" i="17"/>
  <c r="M96" i="17"/>
  <c r="M88" i="17"/>
  <c r="M82" i="17"/>
  <c r="M233" i="17"/>
  <c r="M72" i="17"/>
  <c r="M242" i="17"/>
  <c r="M225" i="17"/>
  <c r="M64" i="17"/>
  <c r="M68" i="17"/>
  <c r="M149" i="17"/>
  <c r="M165" i="17"/>
  <c r="M181" i="17"/>
  <c r="M197" i="17"/>
  <c r="M213" i="17"/>
  <c r="M240" i="17"/>
  <c r="M245" i="17"/>
  <c r="M85" i="17"/>
  <c r="M93" i="17"/>
  <c r="M143" i="17"/>
  <c r="M159" i="17"/>
  <c r="M175" i="17"/>
  <c r="M191" i="17"/>
  <c r="M207" i="17"/>
  <c r="M223" i="17"/>
  <c r="M228" i="17"/>
  <c r="M137" i="17"/>
  <c r="M153" i="17"/>
  <c r="M169" i="17"/>
  <c r="M185" i="17"/>
  <c r="M201" i="17"/>
  <c r="M217" i="17"/>
  <c r="M231" i="17"/>
  <c r="M238" i="17"/>
  <c r="M133" i="17"/>
  <c r="M99" i="17"/>
  <c r="M131" i="17"/>
  <c r="M147" i="17"/>
  <c r="M163" i="17"/>
  <c r="M179" i="17"/>
  <c r="M195" i="17"/>
  <c r="M211" i="17"/>
  <c r="M226" i="17"/>
  <c r="M234" i="17"/>
  <c r="M241" i="17"/>
  <c r="M101" i="17"/>
  <c r="M125" i="17"/>
  <c r="M141" i="17"/>
  <c r="M157" i="17"/>
  <c r="M173" i="17"/>
  <c r="M189" i="17"/>
  <c r="M205" i="17"/>
  <c r="M221" i="17"/>
  <c r="M97" i="17"/>
  <c r="M135" i="17"/>
  <c r="M151" i="17"/>
  <c r="M167" i="17"/>
  <c r="M183" i="17"/>
  <c r="M199" i="17"/>
  <c r="M215" i="17"/>
  <c r="M224" i="17"/>
  <c r="M244" i="17"/>
  <c r="M129" i="17"/>
  <c r="M145" i="17"/>
  <c r="M161" i="17"/>
  <c r="M177" i="17"/>
  <c r="M193" i="17"/>
  <c r="M209" i="17"/>
  <c r="M230" i="17"/>
  <c r="D251" i="17"/>
  <c r="M123" i="17"/>
  <c r="M139" i="17"/>
  <c r="M155" i="17"/>
  <c r="M171" i="17"/>
  <c r="M187" i="17"/>
  <c r="M203" i="17"/>
  <c r="M219" i="17"/>
  <c r="M235" i="17"/>
  <c r="E251" i="17" l="1"/>
  <c r="M66" i="17"/>
  <c r="M70" i="17"/>
  <c r="E250" i="17"/>
  <c r="E252" i="17" s="1"/>
  <c r="M247" i="17"/>
  <c r="D252" i="17"/>
  <c r="C37" i="12" l="1"/>
  <c r="F53" i="3"/>
  <c r="F45" i="3" l="1"/>
  <c r="F43" i="3"/>
  <c r="H114" i="9" l="1"/>
  <c r="H113" i="9"/>
  <c r="C30" i="5"/>
  <c r="C21" i="5"/>
  <c r="C38" i="5"/>
  <c r="C29" i="5"/>
  <c r="C34" i="5"/>
  <c r="C25" i="5"/>
  <c r="C28" i="5"/>
  <c r="C90" i="12"/>
  <c r="C27" i="4"/>
  <c r="C12" i="5" s="1"/>
  <c r="C24" i="4"/>
  <c r="C41" i="12"/>
  <c r="D39" i="5" l="1"/>
  <c r="D32" i="5"/>
  <c r="D14" i="5"/>
  <c r="D22" i="5" s="1"/>
  <c r="D41" i="5" s="1"/>
  <c r="D43" i="5" s="1"/>
  <c r="C42" i="5" s="1"/>
  <c r="D13" i="15"/>
  <c r="E13" i="15"/>
  <c r="I11" i="15"/>
  <c r="E11" i="15"/>
  <c r="D11" i="15"/>
  <c r="G62" i="3"/>
  <c r="D62" i="3"/>
  <c r="G51" i="3"/>
  <c r="G47" i="3"/>
  <c r="D22" i="3"/>
  <c r="D29" i="12"/>
  <c r="D87" i="12"/>
  <c r="D104" i="12" s="1"/>
  <c r="D73" i="12"/>
  <c r="D54" i="12"/>
  <c r="D42" i="12"/>
  <c r="D16" i="4" s="1"/>
  <c r="E17" i="12"/>
  <c r="E19" i="12" s="1"/>
  <c r="C19" i="12"/>
  <c r="D19" i="12"/>
  <c r="F18" i="12"/>
  <c r="F16" i="12"/>
  <c r="F15" i="12"/>
  <c r="F14" i="12"/>
  <c r="F13" i="12"/>
  <c r="F12" i="12"/>
  <c r="E70" i="11"/>
  <c r="F79" i="11"/>
  <c r="F70" i="11"/>
  <c r="E61" i="11"/>
  <c r="G55" i="3" l="1"/>
  <c r="F17" i="12"/>
  <c r="F19" i="12" s="1"/>
  <c r="D10" i="11"/>
  <c r="G35" i="3" s="1"/>
  <c r="C85" i="10"/>
  <c r="D18" i="11"/>
  <c r="G14" i="3" s="1"/>
  <c r="D32" i="10"/>
  <c r="C32" i="10"/>
  <c r="D103" i="9"/>
  <c r="C35" i="3"/>
  <c r="E29" i="8"/>
  <c r="F29" i="8" s="1"/>
  <c r="E24" i="8" l="1"/>
  <c r="F24" i="8" s="1"/>
  <c r="C51" i="9" l="1"/>
  <c r="C43" i="4"/>
  <c r="C40" i="4"/>
  <c r="C40" i="5" l="1"/>
  <c r="E79" i="11"/>
  <c r="F61" i="11"/>
  <c r="C103" i="9" l="1"/>
  <c r="C20" i="3" s="1"/>
  <c r="F116" i="9" l="1"/>
  <c r="D116" i="9"/>
  <c r="C27" i="5" s="1"/>
  <c r="F51" i="3"/>
  <c r="F47" i="3"/>
  <c r="F55" i="3" l="1"/>
  <c r="C20" i="4"/>
  <c r="L114" i="9" l="1"/>
  <c r="D32" i="11" l="1"/>
  <c r="G26" i="3" s="1"/>
  <c r="C32" i="11"/>
  <c r="F26" i="3" s="1"/>
  <c r="D20" i="4" l="1"/>
  <c r="H17" i="15"/>
  <c r="M17" i="15" s="1"/>
  <c r="H11" i="15"/>
  <c r="H20" i="15" s="1"/>
  <c r="K16" i="15"/>
  <c r="M16" i="15" s="1"/>
  <c r="D44" i="11"/>
  <c r="F62" i="3"/>
  <c r="C62" i="3"/>
  <c r="C42" i="11"/>
  <c r="C10" i="11"/>
  <c r="F35" i="3" s="1"/>
  <c r="C18" i="11"/>
  <c r="F14" i="3" s="1"/>
  <c r="D39" i="10" l="1"/>
  <c r="D47" i="3" s="1"/>
  <c r="D46" i="3" s="1"/>
  <c r="C39" i="10"/>
  <c r="C47" i="3" s="1"/>
  <c r="E9" i="10"/>
  <c r="D9" i="10"/>
  <c r="C9" i="10"/>
  <c r="F8" i="10"/>
  <c r="L113" i="9"/>
  <c r="K116" i="9"/>
  <c r="I116" i="9"/>
  <c r="F9" i="10" l="1"/>
  <c r="C44" i="3" s="1"/>
  <c r="D41" i="3"/>
  <c r="D40" i="3"/>
  <c r="J115" i="9"/>
  <c r="J116" i="9" s="1"/>
  <c r="E115" i="9"/>
  <c r="E116" i="9" s="1"/>
  <c r="D21" i="3"/>
  <c r="D19" i="3" s="1"/>
  <c r="C38" i="8" l="1"/>
  <c r="D7" i="12" l="1"/>
  <c r="C7" i="12"/>
  <c r="C29" i="12"/>
  <c r="H43" i="3" l="1"/>
  <c r="F25" i="3" l="1"/>
  <c r="E38" i="8"/>
  <c r="E31" i="8"/>
  <c r="F31" i="8" s="1"/>
  <c r="E28" i="8"/>
  <c r="F28" i="8" s="1"/>
  <c r="E27" i="8"/>
  <c r="F27" i="8" s="1"/>
  <c r="E26" i="8"/>
  <c r="E25" i="8"/>
  <c r="F25" i="8" s="1"/>
  <c r="E23" i="8"/>
  <c r="F23" i="8" s="1"/>
  <c r="E22" i="8"/>
  <c r="F22" i="8" s="1"/>
  <c r="C88" i="10"/>
  <c r="E37" i="8"/>
  <c r="C37" i="8"/>
  <c r="C23" i="9"/>
  <c r="C13" i="3" s="1"/>
  <c r="C11" i="3" s="1"/>
  <c r="F13" i="15"/>
  <c r="F11" i="15"/>
  <c r="D126" i="9"/>
  <c r="C126" i="9"/>
  <c r="I14" i="15"/>
  <c r="I19" i="15" s="1"/>
  <c r="C62" i="10"/>
  <c r="D62" i="10"/>
  <c r="G33" i="3" s="1"/>
  <c r="G32" i="3" s="1"/>
  <c r="D23" i="9"/>
  <c r="D13" i="3" s="1"/>
  <c r="C73" i="12"/>
  <c r="C25" i="4" s="1"/>
  <c r="C22" i="4" s="1"/>
  <c r="D25" i="4"/>
  <c r="D22" i="4" s="1"/>
  <c r="C42" i="12"/>
  <c r="K11" i="15"/>
  <c r="K20" i="15" s="1"/>
  <c r="L18" i="15"/>
  <c r="M18" i="15" s="1"/>
  <c r="G14" i="15"/>
  <c r="M14" i="15" s="1"/>
  <c r="L11" i="15"/>
  <c r="K15" i="15" s="1"/>
  <c r="J11" i="15"/>
  <c r="J19" i="15" s="1"/>
  <c r="G11" i="15"/>
  <c r="D88" i="10"/>
  <c r="G13" i="3" s="1"/>
  <c r="C21" i="3"/>
  <c r="D25" i="3"/>
  <c r="C19" i="15"/>
  <c r="E20" i="15"/>
  <c r="E19" i="15"/>
  <c r="C20" i="15"/>
  <c r="M20" i="15"/>
  <c r="D20" i="15"/>
  <c r="D32" i="4"/>
  <c r="D26" i="4" s="1"/>
  <c r="C104" i="12"/>
  <c r="C32" i="4" s="1"/>
  <c r="C26" i="4" s="1"/>
  <c r="D19" i="4"/>
  <c r="D17" i="4" s="1"/>
  <c r="C54" i="12"/>
  <c r="C19" i="4" s="1"/>
  <c r="C17" i="4" s="1"/>
  <c r="G113" i="9"/>
  <c r="M113" i="9" s="1"/>
  <c r="F34" i="9"/>
  <c r="C13" i="13"/>
  <c r="C35" i="4" s="1"/>
  <c r="G115" i="9"/>
  <c r="M115" i="9" s="1"/>
  <c r="G114" i="9"/>
  <c r="M114" i="9" s="1"/>
  <c r="C32" i="3"/>
  <c r="C15" i="3"/>
  <c r="L115" i="9"/>
  <c r="C58" i="9"/>
  <c r="C22" i="3" s="1"/>
  <c r="D37" i="13"/>
  <c r="D42" i="4" s="1"/>
  <c r="C37" i="13"/>
  <c r="C42" i="4" s="1"/>
  <c r="C37" i="5" s="1"/>
  <c r="C39" i="5" s="1"/>
  <c r="C30" i="13"/>
  <c r="C39" i="4" s="1"/>
  <c r="D30" i="13"/>
  <c r="D39" i="4" s="1"/>
  <c r="D13" i="13"/>
  <c r="D35" i="4" s="1"/>
  <c r="C93" i="10"/>
  <c r="F12" i="3" s="1"/>
  <c r="D93" i="10"/>
  <c r="G12" i="3" s="1"/>
  <c r="C52" i="10"/>
  <c r="F18" i="3" s="1"/>
  <c r="D52" i="10"/>
  <c r="G18" i="3" s="1"/>
  <c r="C47" i="10"/>
  <c r="F17" i="3" s="1"/>
  <c r="D47" i="10"/>
  <c r="G17" i="3" s="1"/>
  <c r="G25" i="3"/>
  <c r="G20" i="3"/>
  <c r="D32" i="3"/>
  <c r="C46" i="3"/>
  <c r="H19" i="15"/>
  <c r="D15" i="3"/>
  <c r="L15" i="15" l="1"/>
  <c r="M15" i="15"/>
  <c r="F33" i="3"/>
  <c r="F32" i="3" s="1"/>
  <c r="F37" i="3" s="1"/>
  <c r="D11" i="3"/>
  <c r="D29" i="3" s="1"/>
  <c r="C19" i="3"/>
  <c r="G11" i="3"/>
  <c r="D24" i="3"/>
  <c r="D19" i="15"/>
  <c r="M13" i="15"/>
  <c r="D55" i="3"/>
  <c r="G16" i="3"/>
  <c r="F13" i="3"/>
  <c r="F11" i="3" s="1"/>
  <c r="D8" i="4"/>
  <c r="C16" i="4"/>
  <c r="L20" i="15"/>
  <c r="K19" i="15"/>
  <c r="F16" i="3"/>
  <c r="C25" i="3"/>
  <c r="L116" i="9"/>
  <c r="G116" i="9"/>
  <c r="C40" i="3" s="1"/>
  <c r="F26" i="8"/>
  <c r="F19" i="15"/>
  <c r="J20" i="15"/>
  <c r="G19" i="15"/>
  <c r="F20" i="15"/>
  <c r="G20" i="15"/>
  <c r="N11" i="15"/>
  <c r="C19" i="5" l="1"/>
  <c r="C8" i="4"/>
  <c r="C11" i="5"/>
  <c r="N20" i="15"/>
  <c r="G29" i="3"/>
  <c r="G40" i="3" s="1"/>
  <c r="G56" i="3" s="1"/>
  <c r="C24" i="3"/>
  <c r="C29" i="3"/>
  <c r="C21" i="4"/>
  <c r="C33" i="4" s="1"/>
  <c r="C44" i="4" s="1"/>
  <c r="D21" i="4"/>
  <c r="D33" i="4" s="1"/>
  <c r="D56" i="3"/>
  <c r="M116" i="9"/>
  <c r="C41" i="3"/>
  <c r="C32" i="5"/>
  <c r="L19" i="15"/>
  <c r="M19" i="15" s="1"/>
  <c r="C47" i="4" l="1"/>
  <c r="C13" i="5"/>
  <c r="C14" i="5" s="1"/>
  <c r="C22" i="5" s="1"/>
  <c r="C41" i="5" s="1"/>
  <c r="C43" i="5" s="1"/>
  <c r="D44" i="4"/>
  <c r="D47" i="4" s="1"/>
  <c r="C55" i="3"/>
  <c r="C56" i="3" s="1"/>
  <c r="C41" i="11"/>
  <c r="C44" i="11" s="1"/>
  <c r="F20" i="3"/>
  <c r="F29" i="3" s="1"/>
  <c r="F40" i="3" s="1"/>
  <c r="F56" i="3" s="1"/>
</calcChain>
</file>

<file path=xl/sharedStrings.xml><?xml version="1.0" encoding="utf-8"?>
<sst xmlns="http://schemas.openxmlformats.org/spreadsheetml/2006/main" count="1593" uniqueCount="801">
  <si>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</si>
  <si>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 xml:space="preserve">INFORMACION GENERAL DE LA ENTIDAD </t>
  </si>
  <si>
    <t>Información al 31 /12 /2022</t>
  </si>
  <si>
    <t>1.            IDENTIFICACIÓN</t>
  </si>
  <si>
    <t>Razón Social:</t>
  </si>
  <si>
    <t>Capital Markets Casa de Bolsa S.A.</t>
  </si>
  <si>
    <t>RUC N°</t>
  </si>
  <si>
    <t>80009706-8</t>
  </si>
  <si>
    <t>Registro CNV:</t>
  </si>
  <si>
    <t>122/07</t>
  </si>
  <si>
    <t>Código Bolsa:</t>
  </si>
  <si>
    <t>Dirección Oficina Principal:</t>
  </si>
  <si>
    <t>Tte. Nuñez 295 entre El Dorado y Tte. Ricardo Cocco</t>
  </si>
  <si>
    <t>Teléfono:</t>
  </si>
  <si>
    <t>021-201.255</t>
  </si>
  <si>
    <t>E-mail:</t>
  </si>
  <si>
    <t>info@capitalmarkets.com.py</t>
  </si>
  <si>
    <t>Sitio Página Web:</t>
  </si>
  <si>
    <t xml:space="preserve"> www.capitalmarkets.com.py</t>
  </si>
  <si>
    <t>Domicilio Legal:</t>
  </si>
  <si>
    <t xml:space="preserve">2.            ANTECEDENTES DE CONSTITUCIÓN </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</si>
  <si>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</si>
  <si>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</si>
  <si>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</si>
  <si>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</si>
  <si>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 xml:space="preserve">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t>
  </si>
  <si>
    <t xml:space="preserve">3.            ADMINISTRACION </t>
  </si>
  <si>
    <t>CARGO</t>
  </si>
  <si>
    <t>NOMBRE Y APELLIDO</t>
  </si>
  <si>
    <t>Representantes Legales</t>
  </si>
  <si>
    <t>Presidente</t>
  </si>
  <si>
    <t xml:space="preserve">Daniel Andrés Moreno Bogarín </t>
  </si>
  <si>
    <t>Vice-presidente</t>
  </si>
  <si>
    <t>Rodney Russell Banks Magnani</t>
  </si>
  <si>
    <t>Director Titular</t>
  </si>
  <si>
    <t>Rómulo Chang Ming Yuan</t>
  </si>
  <si>
    <t>Director Suplente</t>
  </si>
  <si>
    <t>Matias Andrés Moreno Pérez</t>
  </si>
  <si>
    <t>Fernando Javier Villamayor Bogarin</t>
  </si>
  <si>
    <t>Sindico</t>
  </si>
  <si>
    <t>Javier Eduardo Benitez Pereira</t>
  </si>
  <si>
    <t>Sindico Suplente</t>
  </si>
  <si>
    <t>Juan Manuel Romero</t>
  </si>
  <si>
    <t>Plana Ejecutiva</t>
  </si>
  <si>
    <t xml:space="preserve">Presidente </t>
  </si>
  <si>
    <t>Vicepresidente</t>
  </si>
  <si>
    <t>Auditoría Interna</t>
  </si>
  <si>
    <t>Claudia Roa</t>
  </si>
  <si>
    <t>Contador</t>
  </si>
  <si>
    <t>Dora Busto de Arzamendia</t>
  </si>
  <si>
    <t xml:space="preserve">4.            CAPITAL Y PROPIEDAD </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</si>
  <si>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</si>
  <si>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Capital Social</t>
  </si>
  <si>
    <t>Capital Emitido</t>
  </si>
  <si>
    <t>G.3.332.300.000</t>
  </si>
  <si>
    <t>Capital Suscripto e Integrado</t>
  </si>
  <si>
    <t>Capital a Integrar</t>
  </si>
  <si>
    <t>CUADRO DE  CAPITAL SUSCRIPTO E INTEGRADO</t>
  </si>
  <si>
    <t>N°</t>
  </si>
  <si>
    <t>ACCIONISTA</t>
  </si>
  <si>
    <t xml:space="preserve">SERIE </t>
  </si>
  <si>
    <t>Numero del titulo</t>
  </si>
  <si>
    <t>Del</t>
  </si>
  <si>
    <t>Al</t>
  </si>
  <si>
    <t>CLASE</t>
  </si>
  <si>
    <t>VOTO</t>
  </si>
  <si>
    <t xml:space="preserve">CANTIDAD ACCIONES </t>
  </si>
  <si>
    <t>CANTIDAD VOTOS</t>
  </si>
  <si>
    <t xml:space="preserve">MONTO </t>
  </si>
  <si>
    <t>% PARTIC.CAPITAL INTEGRADO</t>
  </si>
  <si>
    <t>Alberto Acosta</t>
  </si>
  <si>
    <t>II</t>
  </si>
  <si>
    <t>I</t>
  </si>
  <si>
    <t>Ordinaria</t>
  </si>
  <si>
    <t>XI</t>
  </si>
  <si>
    <t>LI</t>
  </si>
  <si>
    <t>XXI</t>
  </si>
  <si>
    <t>Eleonora Scavone</t>
  </si>
  <si>
    <t>CII</t>
  </si>
  <si>
    <t>X</t>
  </si>
  <si>
    <t>CIII</t>
  </si>
  <si>
    <t>CIV</t>
  </si>
  <si>
    <t>CV</t>
  </si>
  <si>
    <t>CVI</t>
  </si>
  <si>
    <t>XVIII</t>
  </si>
  <si>
    <t>XXIX</t>
  </si>
  <si>
    <t>CXXXVIII</t>
  </si>
  <si>
    <t>LXXXIX</t>
  </si>
  <si>
    <t>XIII</t>
  </si>
  <si>
    <t>LXXXX</t>
  </si>
  <si>
    <t>XIV</t>
  </si>
  <si>
    <t>Elizabeth Yegros</t>
  </si>
  <si>
    <t>IV</t>
  </si>
  <si>
    <t>VII</t>
  </si>
  <si>
    <t>XXIV</t>
  </si>
  <si>
    <t>Emerging MC</t>
  </si>
  <si>
    <t>III</t>
  </si>
  <si>
    <t>VIII</t>
  </si>
  <si>
    <t>XXXVII</t>
  </si>
  <si>
    <t>XXXXVI</t>
  </si>
  <si>
    <t>XXV</t>
  </si>
  <si>
    <t>Ming Chi Wu</t>
  </si>
  <si>
    <t>IX</t>
  </si>
  <si>
    <t>V</t>
  </si>
  <si>
    <t>VI</t>
  </si>
  <si>
    <t>XXVI</t>
  </si>
  <si>
    <t>XXVII</t>
  </si>
  <si>
    <t>XXVIII</t>
  </si>
  <si>
    <t>XXX</t>
  </si>
  <si>
    <t>XXXI</t>
  </si>
  <si>
    <t>XXXII</t>
  </si>
  <si>
    <t>XII</t>
  </si>
  <si>
    <t>XXXIX</t>
  </si>
  <si>
    <t>XXXXII</t>
  </si>
  <si>
    <t>XXXXIII</t>
  </si>
  <si>
    <t>XXXXIX</t>
  </si>
  <si>
    <t>XXXXVII</t>
  </si>
  <si>
    <t>XXXXVIII</t>
  </si>
  <si>
    <t>L</t>
  </si>
  <si>
    <t>LII</t>
  </si>
  <si>
    <t>XV</t>
  </si>
  <si>
    <t>XVI</t>
  </si>
  <si>
    <t>XVII</t>
  </si>
  <si>
    <t>XIX</t>
  </si>
  <si>
    <t>XX</t>
  </si>
  <si>
    <t>XXII</t>
  </si>
  <si>
    <t>XXIII</t>
  </si>
  <si>
    <t>XXXX</t>
  </si>
  <si>
    <t>XXXXI</t>
  </si>
  <si>
    <t>Hernán Velilla</t>
  </si>
  <si>
    <t>XXXVIII</t>
  </si>
  <si>
    <t>Jorge Denis</t>
  </si>
  <si>
    <t>LXI</t>
  </si>
  <si>
    <t>LXII</t>
  </si>
  <si>
    <t>LXIII</t>
  </si>
  <si>
    <t>LXIV</t>
  </si>
  <si>
    <t>LXV</t>
  </si>
  <si>
    <t>LXVI</t>
  </si>
  <si>
    <t>LXVII</t>
  </si>
  <si>
    <t>LXVIII</t>
  </si>
  <si>
    <t>LXIX</t>
  </si>
  <si>
    <t>LXX</t>
  </si>
  <si>
    <t>LXXI</t>
  </si>
  <si>
    <t>LXXII</t>
  </si>
  <si>
    <t>LXXIII</t>
  </si>
  <si>
    <t>LXXIV</t>
  </si>
  <si>
    <t>LXXV</t>
  </si>
  <si>
    <t>LXXVI</t>
  </si>
  <si>
    <t>LXXVII</t>
  </si>
  <si>
    <t>CXXV</t>
  </si>
  <si>
    <t>XXXIV</t>
  </si>
  <si>
    <t>CXLVIII</t>
  </si>
  <si>
    <t>XXXVI</t>
  </si>
  <si>
    <t>CLVII</t>
  </si>
  <si>
    <t>XXXXXXV</t>
  </si>
  <si>
    <t>CCI</t>
  </si>
  <si>
    <t>XXXXXXVI</t>
  </si>
  <si>
    <t>CCII</t>
  </si>
  <si>
    <t>LXXXVI</t>
  </si>
  <si>
    <t>Juan M. Peña</t>
  </si>
  <si>
    <t>LXXXV</t>
  </si>
  <si>
    <t>Quantum Fund</t>
  </si>
  <si>
    <t>XXXV</t>
  </si>
  <si>
    <t>LXXXVII</t>
  </si>
  <si>
    <t>LXXXVIII</t>
  </si>
  <si>
    <t>Sergio Britos</t>
  </si>
  <si>
    <t>SSBank</t>
  </si>
  <si>
    <t>Daniel Moreno Bogarín</t>
  </si>
  <si>
    <t>XXXXX</t>
  </si>
  <si>
    <t>XXXXXI</t>
  </si>
  <si>
    <t>XXXXXII</t>
  </si>
  <si>
    <t>XXXXXIII</t>
  </si>
  <si>
    <t>XXXXXIV</t>
  </si>
  <si>
    <t>XXXXXV</t>
  </si>
  <si>
    <t>XXXXXVI</t>
  </si>
  <si>
    <t>XXXXXVII</t>
  </si>
  <si>
    <t>XXXXXVIII</t>
  </si>
  <si>
    <t>XXXXXIX</t>
  </si>
  <si>
    <t>XXXXXX</t>
  </si>
  <si>
    <t>XXXXXXI</t>
  </si>
  <si>
    <t>XXXXXXII</t>
  </si>
  <si>
    <t>XXXXXXIII</t>
  </si>
  <si>
    <t>XXXXXXIV</t>
  </si>
  <si>
    <t>Preferidas</t>
  </si>
  <si>
    <t>Yuan Rómulo Chang Ming</t>
  </si>
  <si>
    <t>XXXXIV</t>
  </si>
  <si>
    <t>XXXXV</t>
  </si>
  <si>
    <t>CEIDOR S.R.L.</t>
  </si>
  <si>
    <t>Cristian Maximiliano Romero M.</t>
  </si>
  <si>
    <t>Cheng Fang Hsiao</t>
  </si>
  <si>
    <t>Carlos Martin Santiago Storm Garcete</t>
  </si>
  <si>
    <t>Jorge Alberto Storm Garcete</t>
  </si>
  <si>
    <t>GABRIELA CABRAL</t>
  </si>
  <si>
    <t>Celeste Huergo Vietto</t>
  </si>
  <si>
    <t>Totales Generales</t>
  </si>
  <si>
    <t>Distribucion de Acciones</t>
  </si>
  <si>
    <t>Cantidad</t>
  </si>
  <si>
    <t>Porcentaje</t>
  </si>
  <si>
    <t>Ordinarias Nominativas</t>
  </si>
  <si>
    <t>Preferidas Nominativas</t>
  </si>
  <si>
    <t>Totales</t>
  </si>
  <si>
    <t xml:space="preserve">5.            CAPITAL Y PROPIEDAD </t>
  </si>
  <si>
    <t>AUDITOR EXTERNO INDEPENDIENTE</t>
  </si>
  <si>
    <t>Nombre:</t>
  </si>
  <si>
    <t>Consultores y contadores de Empresas - CYCE</t>
  </si>
  <si>
    <t>RUC:</t>
  </si>
  <si>
    <t>80004702-8</t>
  </si>
  <si>
    <t>AE009</t>
  </si>
  <si>
    <t>Dirección:</t>
  </si>
  <si>
    <t>Ind. Nacional 821</t>
  </si>
  <si>
    <t>021-446-883</t>
  </si>
  <si>
    <t xml:space="preserve">6.            CAPITAL Y PROPIEDAD </t>
  </si>
  <si>
    <t>PERSONAS Y EMPRESAS VINCULADAS</t>
  </si>
  <si>
    <t>Nombre</t>
  </si>
  <si>
    <t>Cargo</t>
  </si>
  <si>
    <t xml:space="preserve">Director  </t>
  </si>
  <si>
    <t>Auditor Interno</t>
  </si>
  <si>
    <t>BALANCE GENERAL al 31/12/2022 presentado en forma comparativa con el ejercicio anterior cerrado el 31/12/2021.  (En guaraníes)</t>
  </si>
  <si>
    <t>Activo</t>
  </si>
  <si>
    <t>PERIODO ACTUAL</t>
  </si>
  <si>
    <t>PERIODO    ANTERIOR</t>
  </si>
  <si>
    <t>PASIVO</t>
  </si>
  <si>
    <t>PERIODO    ACTUAL</t>
  </si>
  <si>
    <t>Activo Corriente</t>
  </si>
  <si>
    <t>Pasivo Corriente</t>
  </si>
  <si>
    <r>
      <t>Disponibilidades</t>
    </r>
    <r>
      <rPr>
        <sz val="9"/>
        <color indexed="8"/>
        <rFont val="Arial"/>
        <family val="2"/>
      </rPr>
      <t xml:space="preserve"> (</t>
    </r>
    <r>
      <rPr>
        <b/>
        <sz val="9"/>
        <color indexed="8"/>
        <rFont val="Arial"/>
        <family val="2"/>
      </rPr>
      <t>Nota 5.d)</t>
    </r>
  </si>
  <si>
    <t>Documentos y Cuentas a Pagar</t>
  </si>
  <si>
    <t>Fondo Fijo</t>
  </si>
  <si>
    <r>
      <t>Acreedores por Intermediación</t>
    </r>
    <r>
      <rPr>
        <b/>
        <sz val="9"/>
        <rFont val="Arial"/>
        <family val="2"/>
      </rPr>
      <t xml:space="preserve"> (</t>
    </r>
    <r>
      <rPr>
        <sz val="9"/>
        <rFont val="Arial"/>
        <family val="2"/>
      </rPr>
      <t>Nota 5.m)</t>
    </r>
  </si>
  <si>
    <t>Bancos</t>
  </si>
  <si>
    <t>Acreedores Varios (Nota 5. l)</t>
  </si>
  <si>
    <t>Acreedores Varios Vinculados (Nota 5. o)</t>
  </si>
  <si>
    <t>Inventario</t>
  </si>
  <si>
    <t>Títulos de Renta Variable</t>
  </si>
  <si>
    <t>Préstamos Financieros (Nota 5. k)</t>
  </si>
  <si>
    <t>Títulos de Renta Fija</t>
  </si>
  <si>
    <t>Deudas Financieras</t>
  </si>
  <si>
    <t>Intereses a pagar</t>
  </si>
  <si>
    <t>Créditos (Nota 5. f)</t>
  </si>
  <si>
    <t xml:space="preserve">Deudores por Intermediación </t>
  </si>
  <si>
    <t xml:space="preserve">Provisiones (Nota 5. q) </t>
  </si>
  <si>
    <t xml:space="preserve">Documentos y cuentas por cobrar  </t>
  </si>
  <si>
    <t>Impuestos a pagar</t>
  </si>
  <si>
    <t>Deudores Varios</t>
  </si>
  <si>
    <t>Aportes y Retenciones a pagar</t>
  </si>
  <si>
    <t>Anticipo de clientes</t>
  </si>
  <si>
    <r>
      <t xml:space="preserve">Otros Activos </t>
    </r>
    <r>
      <rPr>
        <sz val="9"/>
        <color theme="1"/>
        <rFont val="Arial"/>
        <family val="2"/>
      </rPr>
      <t>(Nota 5. j)</t>
    </r>
  </si>
  <si>
    <t xml:space="preserve">Otros Activos Corrientes </t>
  </si>
  <si>
    <t>Otros Pasivos (Nota 5. q)</t>
  </si>
  <si>
    <t xml:space="preserve">Dividendos a pagar </t>
  </si>
  <si>
    <t xml:space="preserve">Otros Pasivos Corrientes </t>
  </si>
  <si>
    <t>TOTAL ACTIVO CORRIENTE</t>
  </si>
  <si>
    <t>TOTAL PASIVO CORRIENTE</t>
  </si>
  <si>
    <t>ACTIVO NO CORRIENTE</t>
  </si>
  <si>
    <t>PASIVO NO CORRIENTE</t>
  </si>
  <si>
    <t xml:space="preserve">Inversiones Permanentes </t>
  </si>
  <si>
    <t xml:space="preserve">Fondos Mutuos - Administradora de Fondos S.A. Gs    </t>
  </si>
  <si>
    <t>Fondos Mutuos - Administradora de Fondos S.A. U$</t>
  </si>
  <si>
    <t>Acción de la Bolsa de Valores (Nota 5.e)</t>
  </si>
  <si>
    <t>Obligac. por Administración de Cartera (5.n)</t>
  </si>
  <si>
    <t>Menos: Previsión para Inversiones</t>
  </si>
  <si>
    <t>TOTAL PASIVO NO CORRIENTE</t>
  </si>
  <si>
    <t xml:space="preserve"> ACTIVO no CORRIENTE</t>
  </si>
  <si>
    <t>Bienes de Uso (Nota 5. g)</t>
  </si>
  <si>
    <t>TOTAL PASIVO</t>
  </si>
  <si>
    <t>(Depreciación acumulada)</t>
  </si>
  <si>
    <t xml:space="preserve">PATRIMONIO NETO </t>
  </si>
  <si>
    <t>Capital Integrado</t>
  </si>
  <si>
    <t>Activos Intangibles y Cargos Diferidos (Nota 5.i)</t>
  </si>
  <si>
    <t>Prima de Emisión</t>
  </si>
  <si>
    <t>Aporte p/ futuras Capitalizaciones</t>
  </si>
  <si>
    <t>Otros Activos no Corrientes(Nota 5. j)</t>
  </si>
  <si>
    <t>Accion Bvpasa</t>
  </si>
  <si>
    <t>Deudores en Gestion de cobro</t>
  </si>
  <si>
    <t xml:space="preserve">Reservas  </t>
  </si>
  <si>
    <t>Reserva Legal</t>
  </si>
  <si>
    <t xml:space="preserve">Reservas Facultativas </t>
  </si>
  <si>
    <t>Reserva de Revaluo Fiscal</t>
  </si>
  <si>
    <t>Resultados Acumulados</t>
  </si>
  <si>
    <t xml:space="preserve">Resultado del Ejercicio </t>
  </si>
  <si>
    <t>TOTAL ACTIVO NO CORRIENTE</t>
  </si>
  <si>
    <t>TOTAL PATRIMONIO NETO</t>
  </si>
  <si>
    <t xml:space="preserve">TOTAL ACTIVO  </t>
  </si>
  <si>
    <t>TOTAL PASIVO Y PATRIMONIO NETO</t>
  </si>
  <si>
    <t>ELERCICIO ANTERIOR</t>
  </si>
  <si>
    <t>Cuentas de Orden Deudoras</t>
  </si>
  <si>
    <t>Cuentas de Orden Acreedoras</t>
  </si>
  <si>
    <t>Registro de Administración de Cartera</t>
  </si>
  <si>
    <t>Ctas. Ctes. de Clientes por compra-venta de valores</t>
  </si>
  <si>
    <t>Vision Banco Cta. Clearing Gs.</t>
  </si>
  <si>
    <t>Responsabilidad por Administración de Cartera</t>
  </si>
  <si>
    <t>Vision Banco Cuenta Clearing USD</t>
  </si>
  <si>
    <t>Las 11 notas y sus anexos aclaratorios que se acompañan son parte integrante de estos estados financieros.</t>
  </si>
  <si>
    <t>ESTADO DE RESULTADOS CORRESPONDIENTE AL 31/12/2022 PRESENTADO EN FORMA COMPARATIVA CON EL 31/12/2021. (En guaraníes)</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</si>
  <si>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</si>
  <si>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</si>
  <si>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</si>
  <si>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</si>
  <si>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</si>
  <si>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</si>
  <si>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</si>
  <si>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</si>
  <si>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</si>
  <si>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</si>
  <si>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</si>
  <si>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</si>
  <si>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</si>
  <si>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</si>
  <si>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</si>
  <si>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</si>
  <si>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</si>
  <si>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</si>
  <si>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</si>
  <si>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</si>
  <si>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</si>
  <si>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</si>
  <si>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</si>
  <si>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</si>
  <si>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</si>
  <si>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</si>
  <si>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</si>
  <si>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</si>
  <si>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</si>
  <si>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</si>
  <si>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</si>
  <si>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</si>
  <si>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</si>
  <si>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</si>
  <si>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</si>
  <si>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</si>
  <si>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</si>
  <si>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</si>
  <si>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</si>
  <si>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</si>
  <si>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VARIACION DEL PATRIMONIO NETO</t>
  </si>
  <si>
    <t>CORRESPONDIENTE AL 31-12-2022 PRESENTADO EN FORMA COMPARATIVA CON EL PERIODO AL 31-12-2021</t>
  </si>
  <si>
    <t>(En guaraníes)</t>
  </si>
  <si>
    <t>Movimientos</t>
  </si>
  <si>
    <t>CAPITAL</t>
  </si>
  <si>
    <t>RESERVAS</t>
  </si>
  <si>
    <t>RESULTADOS</t>
  </si>
  <si>
    <t>PATRIMONIO NETO</t>
  </si>
  <si>
    <t>Suscripto</t>
  </si>
  <si>
    <t>A Integrar</t>
  </si>
  <si>
    <t>Prima</t>
  </si>
  <si>
    <t>Integrado</t>
  </si>
  <si>
    <t>Legal</t>
  </si>
  <si>
    <t>R. ACCIONES</t>
  </si>
  <si>
    <t>facultativa</t>
  </si>
  <si>
    <t>Revalúo</t>
  </si>
  <si>
    <t>Acumulados</t>
  </si>
  <si>
    <t>Del Ejercicio</t>
  </si>
  <si>
    <t>Período</t>
  </si>
  <si>
    <t>Período anterior</t>
  </si>
  <si>
    <t>Actual</t>
  </si>
  <si>
    <t>Saldo al inicio del ejercicio</t>
  </si>
  <si>
    <t>Movimientos subsecuentes</t>
  </si>
  <si>
    <t>Aumento de Capital</t>
  </si>
  <si>
    <t>Reservas</t>
  </si>
  <si>
    <t>Transferencia a Resultados Acumulados</t>
  </si>
  <si>
    <t>Dividendos a Pagar</t>
  </si>
  <si>
    <t>Valuación de la Acción BVPASA</t>
  </si>
  <si>
    <t>Resultado del Ejercicio</t>
  </si>
  <si>
    <t>Total período Actual</t>
  </si>
  <si>
    <t>Total período Anterior</t>
  </si>
  <si>
    <t>ESTADO DE FLUJO DE EFECTIVO</t>
  </si>
  <si>
    <t>CORRESPONDIENTE AL 31/12/2022 PRESENTADO EN FORMA COMPARATIVA CON EL PERIODO AL 31/12/2021</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</si>
  <si>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</si>
  <si>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</si>
  <si>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</si>
  <si>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</si>
  <si>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</si>
  <si>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</si>
  <si>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</si>
  <si>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</si>
  <si>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</si>
  <si>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</si>
  <si>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</si>
  <si>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r>
      <t>Impuestos</t>
    </r>
    <r>
      <rPr>
        <b/>
        <sz val="10"/>
        <color indexed="8"/>
        <rFont val="Calibri"/>
        <family val="2"/>
      </rPr>
      <t xml:space="preserve"> </t>
    </r>
  </si>
  <si>
    <t>Efectivo neto de actividades de operación</t>
  </si>
  <si>
    <t>FLUJO DE EFECTIVO POR LAS ACTIVIDADES DE INVERSION</t>
  </si>
  <si>
    <t>Inversiones en otras empresas</t>
  </si>
  <si>
    <t>Inversiones temporarias</t>
  </si>
  <si>
    <t>Fondos con destino especial</t>
  </si>
  <si>
    <t>Compra de propiedades, planta y equipo</t>
  </si>
  <si>
    <t>Activos Intangibles</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</si>
  <si>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</si>
  <si>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</si>
  <si>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</si>
  <si>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</si>
  <si>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</si>
  <si>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</si>
  <si>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</si>
  <si>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</si>
  <si>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</si>
  <si>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Dividendos Pagados</t>
  </si>
  <si>
    <t>Efectivo neto en actividades de financiamiento</t>
  </si>
  <si>
    <r>
      <t xml:space="preserve">Diferencia de cambio </t>
    </r>
    <r>
      <rPr>
        <sz val="10"/>
        <color indexed="8"/>
        <rFont val="Calibri"/>
        <family val="2"/>
      </rPr>
      <t>(7)</t>
    </r>
  </si>
  <si>
    <t>Aumento (o Disminución) neto de efectivo y sus equivalentes</t>
  </si>
  <si>
    <t>Efectivo y su equivalente al comienzo del período</t>
  </si>
  <si>
    <t>Efectivo y su equivalente al cierre del período</t>
  </si>
  <si>
    <t>NOTAS A LOS ESTADOS CONTABLES</t>
  </si>
  <si>
    <t xml:space="preserve">1) </t>
  </si>
  <si>
    <r>
      <t>Consideración de los Estados Contables</t>
    </r>
    <r>
      <rPr>
        <b/>
        <sz val="11"/>
        <color theme="1"/>
        <rFont val="Calibri"/>
        <family val="2"/>
      </rPr>
      <t xml:space="preserve">. </t>
    </r>
  </si>
  <si>
    <t>Los presentes Estados Financieros (Balance General, Estado de Resultados, Estado de Flujo de Efectivo y Estado de Variación del Patrimonio Neto) correspondientes al 31 de diciembre de 2022 serán considerados y aprobados por la Asamblea General de Accionistas del ejercicio 2022</t>
  </si>
  <si>
    <t xml:space="preserve"> </t>
  </si>
  <si>
    <t xml:space="preserve">2) </t>
  </si>
  <si>
    <r>
      <t>Información básica de la empresa</t>
    </r>
    <r>
      <rPr>
        <b/>
        <sz val="11"/>
        <color theme="1"/>
        <rFont val="Calibri"/>
        <family val="2"/>
      </rPr>
      <t>.</t>
    </r>
  </si>
  <si>
    <t>2.1. Naturaleza jurídica de las actividades de la sociedad.</t>
  </si>
  <si>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</si>
  <si>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2.2. Participación en otras empresas.</t>
  </si>
  <si>
    <t xml:space="preserve">No aplicable. </t>
  </si>
  <si>
    <t>3)</t>
  </si>
  <si>
    <r>
      <t>Principales políticas y prácticas contables aplicadas</t>
    </r>
    <r>
      <rPr>
        <b/>
        <sz val="11"/>
        <color theme="1"/>
        <rFont val="Calibri"/>
        <family val="2"/>
      </rPr>
      <t>.</t>
    </r>
  </si>
  <si>
    <t>3.1.             Los Estados Financieros al 31/12/2022, han sido preparados de acuerdo a las normas establecidas por la Comisión Nacional de Valores y los principios de contabilidad generalmente aceptados aplicables en su caso.</t>
  </si>
  <si>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</si>
  <si>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</si>
  <si>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t>El criterio adoptado para las depreciaciones es el método lineal de acuerdo a los años de vida útil del bien.</t>
  </si>
  <si>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</si>
  <si>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</si>
  <si>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</si>
  <si>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</si>
  <si>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r>
      <t>Cambio de Políticas y Procedimientos de Contabilidad</t>
    </r>
    <r>
      <rPr>
        <b/>
        <sz val="11"/>
        <color theme="1"/>
        <rFont val="Calibri"/>
        <family val="2"/>
      </rPr>
      <t>.</t>
    </r>
  </si>
  <si>
    <r>
      <t xml:space="preserve">             5)</t>
    </r>
    <r>
      <rPr>
        <b/>
        <sz val="7"/>
        <color indexed="8"/>
        <rFont val="Times New Roman"/>
        <family val="1"/>
      </rPr>
      <t>              </t>
    </r>
  </si>
  <si>
    <t>Criterios específicos de valuación.</t>
  </si>
  <si>
    <t>a)  Valuación en moneda extranjera</t>
  </si>
  <si>
    <t>A continuación, se detalla el tipo de cambio utilizado para convertir a moneda nacional los saldos en moneda extranjera.</t>
  </si>
  <si>
    <t xml:space="preserve">Período actual </t>
  </si>
  <si>
    <t xml:space="preserve">Período  </t>
  </si>
  <si>
    <t>en Gs.</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</si>
  <si>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</si>
  <si>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</si>
  <si>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</si>
  <si>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</si>
  <si>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</si>
  <si>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</si>
  <si>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</si>
  <si>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</si>
  <si>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</si>
  <si>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</si>
  <si>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MONEDA EXTRANJERA - MONTO</t>
  </si>
  <si>
    <t>CAMBIO CIERRE – PERIODO ANTERIOR</t>
  </si>
  <si>
    <t>SALDO – PERIODO ANTERIOR  (GUARANIES)</t>
  </si>
  <si>
    <t>ACTIVO</t>
  </si>
  <si>
    <t>ACTIVOS CORRIENTES</t>
  </si>
  <si>
    <t>Bancop Cta. Corrientes USD 0410142603</t>
  </si>
  <si>
    <t>USD</t>
  </si>
  <si>
    <t>El Comercio Cta. Ahorro USD.</t>
  </si>
  <si>
    <t>Ueno Caja de Ahorro USD.</t>
  </si>
  <si>
    <t>Bancop Caja de Ahorro JS USD 0410165042</t>
  </si>
  <si>
    <t>Inversiones En Bonos Usd Cp</t>
  </si>
  <si>
    <t>Intereses A Cobrar Usd</t>
  </si>
  <si>
    <t>(-) Intereses Bursatil A Devengar</t>
  </si>
  <si>
    <t>Fondos Mutuos - Administradora de Fondos S.A. USD</t>
  </si>
  <si>
    <t>PASIVOS CORRIENTES</t>
  </si>
  <si>
    <t>s/ Cuentas pasivas</t>
  </si>
  <si>
    <t>c) Diferencia de cambio en moneda extranjera</t>
  </si>
  <si>
    <t>CONCEPTO</t>
  </si>
  <si>
    <t>TIPO DE CAMBIO PERIODO ACTUAL</t>
  </si>
  <si>
    <t>MONTO AJUSTADO PERIODO ACTUAL G.</t>
  </si>
  <si>
    <t>TIPO DE CAMBIO  PERIODO ANTERIOR</t>
  </si>
  <si>
    <t>MONTO AJUSTADO  PERIODO ANTERIOR G.</t>
  </si>
  <si>
    <t>GANANCIAS POR VALUACIÓN DE ACTIVOS MONETARIOS EN MONEDA EXTRANJERA</t>
  </si>
  <si>
    <t>PÉRDIDAS POR VALUACIÓN DE ACTIVOS MONETARIOS EN MONEDA EXTRANJERA</t>
  </si>
  <si>
    <t xml:space="preserve">d) Disponibilidades </t>
  </si>
  <si>
    <t>La composición de este rubro está compuesta por:</t>
  </si>
  <si>
    <t xml:space="preserve">Concepto </t>
  </si>
  <si>
    <t>Período Actual Gs.</t>
  </si>
  <si>
    <t xml:space="preserve"> Período Anterior Gs.</t>
  </si>
  <si>
    <t>Bancop Cta.Cte.GS 0410015970</t>
  </si>
  <si>
    <t xml:space="preserve"> Ueno Caja de  Ahorro Guaraníes</t>
  </si>
  <si>
    <t>Bancop Cta. Propia CMCB GS 0410145254</t>
  </si>
  <si>
    <t>Cefisa Cta. de ahorro Gs.</t>
  </si>
  <si>
    <t>El Comercio Cta. Ahorro Guaraníes</t>
  </si>
  <si>
    <t>Tu Financiera Ahorro Gs.</t>
  </si>
  <si>
    <t>Bancop Caja de Ahorro HCHW GS 0410168122</t>
  </si>
  <si>
    <t>Bancop Caja de Ahorro CH GS 0410168114</t>
  </si>
  <si>
    <t>Bancop Caja de Ahorro CHFC GS 0410165034</t>
  </si>
  <si>
    <t>TRANSFERENCIAS PENDIENTES DE CLEARING</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</si>
  <si>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</si>
  <si>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</si>
  <si>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</si>
  <si>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</si>
  <si>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</si>
  <si>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</si>
  <si>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</si>
  <si>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</si>
  <si>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</si>
  <si>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PATRIM.</t>
  </si>
  <si>
    <t>EMISOR</t>
  </si>
  <si>
    <t>DE TITULO</t>
  </si>
  <si>
    <t>CONTABLE</t>
  </si>
  <si>
    <t>RESULTADO</t>
  </si>
  <si>
    <t>NETO</t>
  </si>
  <si>
    <t>Inversiones Permanentes</t>
  </si>
  <si>
    <t>BOLSA DE VALORES Y PRODUCTOS DE ASUNCION S.A.</t>
  </si>
  <si>
    <t>ACCION</t>
  </si>
  <si>
    <t>TOTALES PERÍODO ACTUAL G.</t>
  </si>
  <si>
    <t>TOTALES PERíODO ANTERIOR G.</t>
  </si>
  <si>
    <t xml:space="preserve">Acciones BVPASA </t>
  </si>
  <si>
    <t xml:space="preserve">La acción que Capital Markets Casa de Bolsa S.A., posee en la Bolsa de Valores y Productos de Asunción Sociedad Anónima (BVPASA) al 31 de diciembre de 2021 se encuentra valuada al último valor negociado en el Mercado. </t>
  </si>
  <si>
    <t>Valor Nominal</t>
  </si>
  <si>
    <t>Valor Libro de la acción</t>
  </si>
  <si>
    <t>Valor último remate</t>
  </si>
  <si>
    <t>Saldo período actual en Gs.</t>
  </si>
  <si>
    <t>Saldo período anterior en Gs.</t>
  </si>
  <si>
    <t xml:space="preserve">f) Créditos  </t>
  </si>
  <si>
    <r>
      <t>a-</t>
    </r>
    <r>
      <rPr>
        <b/>
        <sz val="10"/>
        <color indexed="8"/>
        <rFont val="Arial Nova"/>
        <family val="2"/>
      </rPr>
      <t>      Documentos y cuentas por cobrar</t>
    </r>
    <r>
      <rPr>
        <sz val="10"/>
        <color indexed="8"/>
        <rFont val="Arial Nova"/>
        <family val="2"/>
      </rPr>
      <t xml:space="preserve">: </t>
    </r>
  </si>
  <si>
    <t>Período Anterior Gs.</t>
  </si>
  <si>
    <t>Documentos a cobrar – Servicios Integrales para la Producción</t>
  </si>
  <si>
    <t>Documentos a cobrar – Gustavo Sanabria</t>
  </si>
  <si>
    <r>
      <t>b-</t>
    </r>
    <r>
      <rPr>
        <b/>
        <sz val="10"/>
        <color indexed="8"/>
        <rFont val="Arial Nova"/>
        <family val="2"/>
      </rPr>
      <t>      Deudores Varios</t>
    </r>
    <r>
      <rPr>
        <sz val="10"/>
        <color indexed="8"/>
        <rFont val="Arial Nova"/>
        <family val="2"/>
      </rPr>
      <t xml:space="preserve">: </t>
    </r>
  </si>
  <si>
    <t xml:space="preserve"> CONCEPTO</t>
  </si>
  <si>
    <t>Anticipo a Proveedores</t>
  </si>
  <si>
    <t>Clientes</t>
  </si>
  <si>
    <r>
      <t>c-</t>
    </r>
    <r>
      <rPr>
        <b/>
        <sz val="10"/>
        <color indexed="8"/>
        <rFont val="Arial Nova"/>
        <family val="2"/>
      </rPr>
      <t xml:space="preserve">      Deudores por Intermediación </t>
    </r>
    <r>
      <rPr>
        <sz val="10"/>
        <color indexed="8"/>
        <rFont val="Arial Nova"/>
        <family val="2"/>
      </rPr>
      <t xml:space="preserve"> </t>
    </r>
  </si>
  <si>
    <t>Agroganadera 43 S.A.</t>
  </si>
  <si>
    <t>Agustin Huergo</t>
  </si>
  <si>
    <t>Alicia Mercedes Gonzalez Villalba</t>
  </si>
  <si>
    <t>Angelica Ines Aya</t>
  </si>
  <si>
    <t>BANCO GNB PARAGUAY S.A.</t>
  </si>
  <si>
    <t>Blas Guillen</t>
  </si>
  <si>
    <t>Burkhard Tristan Heydrich</t>
  </si>
  <si>
    <t>Celeste Huergo</t>
  </si>
  <si>
    <t>Cesar Ariel Chansin</t>
  </si>
  <si>
    <t>Christian Jose Ricciardi Blasco</t>
  </si>
  <si>
    <t>Cidesa</t>
  </si>
  <si>
    <t>Daniel Moreno</t>
  </si>
  <si>
    <t>Diego Emilio Villalba Avila</t>
  </si>
  <si>
    <t>Emilio Javier Brizuela Benitez</t>
  </si>
  <si>
    <t>Enzo Mosqueda</t>
  </si>
  <si>
    <t>Fernando Bogarin</t>
  </si>
  <si>
    <t>Gustavo Gonzalez</t>
  </si>
  <si>
    <t>Hector Mathias Godoy Rojas</t>
  </si>
  <si>
    <t>Hilda Marina Velasquez Franco</t>
  </si>
  <si>
    <t>Hsiu Chen Wang</t>
  </si>
  <si>
    <t>Joel Rolando Rebey Amarilla</t>
  </si>
  <si>
    <t>Jose David Rolon Bogado</t>
  </si>
  <si>
    <t>Julio Cesar Cristaldo</t>
  </si>
  <si>
    <t>Katuete SRL</t>
  </si>
  <si>
    <t>Lizza Viviana Acuña</t>
  </si>
  <si>
    <t>Luis Duran Downing</t>
  </si>
  <si>
    <t>Municipalidad de Villarrica</t>
  </si>
  <si>
    <t xml:space="preserve">Nuria Lezcano </t>
  </si>
  <si>
    <t>Oscar Milciades Urbieta Acosta</t>
  </si>
  <si>
    <t>Puente AFPISA</t>
  </si>
  <si>
    <t>Rodney Russell Banks</t>
  </si>
  <si>
    <t>ROYAL SEGUROS SA</t>
  </si>
  <si>
    <t>SUDAMERIS BANK SAECA</t>
  </si>
  <si>
    <t>SUNDIN STEINAR BENGT</t>
  </si>
  <si>
    <t>TAPE PORA S.A.</t>
  </si>
  <si>
    <t>Vision Banco SAECA</t>
  </si>
  <si>
    <t>Wilson David Franco Zelaya</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</si>
  <si>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</si>
  <si>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</si>
  <si>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</si>
  <si>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</si>
  <si>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</si>
  <si>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</si>
  <si>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</si>
  <si>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</si>
  <si>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</si>
  <si>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</si>
  <si>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</si>
  <si>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</si>
  <si>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</si>
  <si>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</si>
  <si>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Equipos</t>
  </si>
  <si>
    <t>Rodados</t>
  </si>
  <si>
    <t>Totales período actual</t>
  </si>
  <si>
    <t>Totales  período anterior</t>
  </si>
  <si>
    <t>h) Cargos Diferidos</t>
  </si>
  <si>
    <t>s/ Movimiento</t>
  </si>
  <si>
    <t>i) Activos Intangibles</t>
  </si>
  <si>
    <t>SALDO</t>
  </si>
  <si>
    <t>INICIAL</t>
  </si>
  <si>
    <t>AUMENTOS</t>
  </si>
  <si>
    <t>AMORTIZACIONES</t>
  </si>
  <si>
    <t>NETO FINAL</t>
  </si>
  <si>
    <t>Programas</t>
  </si>
  <si>
    <t>Total actual</t>
  </si>
  <si>
    <t>Total período anterior</t>
  </si>
  <si>
    <t>j) Otros Activos</t>
  </si>
  <si>
    <r>
      <t>a-</t>
    </r>
    <r>
      <rPr>
        <b/>
        <sz val="10"/>
        <color indexed="8"/>
        <rFont val="Arial Nova"/>
        <family val="2"/>
      </rPr>
      <t>      Otros Activos Corrientes</t>
    </r>
  </si>
  <si>
    <t xml:space="preserve">  CONCEPTO</t>
  </si>
  <si>
    <t>Anticipo Impuesto a la Renta</t>
  </si>
  <si>
    <t>Retenciones Impuesto a la Renta</t>
  </si>
  <si>
    <t>Retenciones de IVA</t>
  </si>
  <si>
    <t>IVA Credito Fiscal - 10%</t>
  </si>
  <si>
    <t>Retenciones IDU</t>
  </si>
  <si>
    <t>Gastos Bancarios a Documentar</t>
  </si>
  <si>
    <t>Anticipo de Gastos a Rendir</t>
  </si>
  <si>
    <t>Comisiones a Rendir</t>
  </si>
  <si>
    <t>Viaticos a rendir</t>
  </si>
  <si>
    <t>Remuneración a Rendir</t>
  </si>
  <si>
    <t>Intereses a Vencer</t>
  </si>
  <si>
    <t>Fondo de Garantía</t>
  </si>
  <si>
    <t>Seguros a Devengar</t>
  </si>
  <si>
    <t>Administracion De Cartera / Inversiones</t>
  </si>
  <si>
    <r>
      <t>b-</t>
    </r>
    <r>
      <rPr>
        <b/>
        <sz val="10"/>
        <color indexed="8"/>
        <rFont val="Arial Nova"/>
        <family val="2"/>
      </rPr>
      <t>      Otros Activos No Corrientes</t>
    </r>
  </si>
  <si>
    <t>Deudores En Gestión De Cobro – Morosos O Similares</t>
  </si>
  <si>
    <t xml:space="preserve">k) Préstamos Financieros (Pasivo Corriente) </t>
  </si>
  <si>
    <r>
      <t>a-</t>
    </r>
    <r>
      <rPr>
        <b/>
        <sz val="10"/>
        <color indexed="8"/>
        <rFont val="Arial Nova"/>
        <family val="2"/>
      </rPr>
      <t>      Préstamos:</t>
    </r>
  </si>
  <si>
    <t xml:space="preserve">PRESTAMOS </t>
  </si>
  <si>
    <t>Período Actual en Gs.</t>
  </si>
  <si>
    <t>Período anterior en Gs.</t>
  </si>
  <si>
    <t>Bancop S.A.</t>
  </si>
  <si>
    <t>b-      Intereses a pagar:</t>
  </si>
  <si>
    <t>INTERESES A PAGAR</t>
  </si>
  <si>
    <r>
      <t>c-</t>
    </r>
    <r>
      <rPr>
        <b/>
        <sz val="10"/>
        <color indexed="8"/>
        <rFont val="Arial Nova"/>
        <family val="2"/>
      </rPr>
      <t>      Sobregiros bancarios:</t>
    </r>
  </si>
  <si>
    <t>SOBREGIRO BANCARIO</t>
  </si>
  <si>
    <t>-</t>
  </si>
  <si>
    <r>
      <t>d-</t>
    </r>
    <r>
      <rPr>
        <b/>
        <sz val="10"/>
        <color indexed="8"/>
        <rFont val="Arial Nova"/>
        <family val="2"/>
      </rPr>
      <t>      Préstamos Porcion no corriente:</t>
    </r>
  </si>
  <si>
    <t xml:space="preserve">l) Documentos y Cuentas por pagar (Pasivo Corriente) </t>
  </si>
  <si>
    <t>Período anterior Gs.</t>
  </si>
  <si>
    <t>AMX Paraguay SA</t>
  </si>
  <si>
    <t>AYCA</t>
  </si>
  <si>
    <t>Avalon Casa de Bolsa</t>
  </si>
  <si>
    <t>Copaco SA</t>
  </si>
  <si>
    <t>CYCE</t>
  </si>
  <si>
    <t>Cynthia Teresa Fatecha</t>
  </si>
  <si>
    <t>Distribuidora El Arte</t>
  </si>
  <si>
    <t>Itau Invest Casa de Bolsa S.A.</t>
  </si>
  <si>
    <t>Essap S.A.</t>
  </si>
  <si>
    <t>Gestión Empresarial</t>
  </si>
  <si>
    <t>Juan Carlos Busto</t>
  </si>
  <si>
    <t>Lux Professional SA</t>
  </si>
  <si>
    <t>Massmedia</t>
  </si>
  <si>
    <t>La Agrícola S.A. de Seguros Generales</t>
  </si>
  <si>
    <t>Oliservice SRL</t>
  </si>
  <si>
    <t>Tarjeta De Credito Empresarial</t>
  </si>
  <si>
    <t>Todo Brillo SA</t>
  </si>
  <si>
    <t>Varios</t>
  </si>
  <si>
    <t>Venecia SA</t>
  </si>
  <si>
    <t>Zusa SACI</t>
  </si>
  <si>
    <r>
      <t>m) Acreedores por Intermediación</t>
    </r>
    <r>
      <rPr>
        <sz val="10"/>
        <color theme="1"/>
        <rFont val="Arial Nova"/>
        <family val="2"/>
      </rPr>
      <t>:</t>
    </r>
  </si>
  <si>
    <t>BVPASA - ( Aranceles )</t>
  </si>
  <si>
    <t>n) Administración de Cartera (corto y largo plazo)</t>
  </si>
  <si>
    <t xml:space="preserve">CH </t>
  </si>
  <si>
    <t>CFH</t>
  </si>
  <si>
    <t>JS</t>
  </si>
  <si>
    <t>HCW</t>
  </si>
  <si>
    <r>
      <t xml:space="preserve">o) </t>
    </r>
    <r>
      <rPr>
        <b/>
        <sz val="10"/>
        <color indexed="8"/>
        <rFont val="Arial Nova"/>
        <family val="2"/>
      </rPr>
      <t>Cuentas a pagar a personas y empresas relacionadas (corto y largo plazo)</t>
    </r>
  </si>
  <si>
    <t>Rodney Banks</t>
  </si>
  <si>
    <t>-           Eleonora Scavone</t>
  </si>
  <si>
    <t>-           Quantum Fund</t>
  </si>
  <si>
    <t>-           SSBank</t>
  </si>
  <si>
    <t>-           Sergio Britos</t>
  </si>
  <si>
    <t>-           Emerging MC</t>
  </si>
  <si>
    <t>-           Jorge Storm</t>
  </si>
  <si>
    <t>-           Juan M. Peña</t>
  </si>
  <si>
    <t>-           Hernán Velilla</t>
  </si>
  <si>
    <t>-           Elizabeth Yegros</t>
  </si>
  <si>
    <t>-           Alberto Acosta</t>
  </si>
  <si>
    <t>p) Obligaciones por contrato de Underwriting (corto y largo plazo)</t>
  </si>
  <si>
    <t>No posee</t>
  </si>
  <si>
    <t>q) Otros Pasivos (Pasivo Corriente)</t>
  </si>
  <si>
    <t>Obligaciones Laborales Y Cargas Sociales</t>
  </si>
  <si>
    <t>Dividendo a pagar</t>
  </si>
  <si>
    <t>Otros Pasivos Corrientes</t>
  </si>
  <si>
    <t xml:space="preserve">                                   -  </t>
  </si>
  <si>
    <t>Provisiones (Pasivo Corriente)</t>
  </si>
  <si>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</si>
  <si>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</si>
  <si>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</si>
  <si>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t>r) Saldos y transacciones con personas y empresas relacionadas (Corriente y No Corriente)</t>
  </si>
  <si>
    <t>r.1)  Saldos con personas u empresas relacionadas</t>
  </si>
  <si>
    <t>PARTE RELACIONADA</t>
  </si>
  <si>
    <t>RELACION</t>
  </si>
  <si>
    <t>Salarios a Pagar</t>
  </si>
  <si>
    <t>Acreedores Varios Vinculados</t>
  </si>
  <si>
    <t>vicepresidente</t>
  </si>
  <si>
    <t>r.2)  Transacciones con personas u empresas relacionadas</t>
  </si>
  <si>
    <t>Ingresos</t>
  </si>
  <si>
    <t>Colocacion de Acciones</t>
  </si>
  <si>
    <t>Comisiones por operaciones</t>
  </si>
  <si>
    <t>Vice- Presidente</t>
  </si>
  <si>
    <t>Egresos</t>
  </si>
  <si>
    <t>Remuneracion Personal Superior</t>
  </si>
  <si>
    <t>Comisiones s/ Ventas</t>
  </si>
  <si>
    <t>s) Resultado con personas y empresas vinculadas</t>
  </si>
  <si>
    <t>s/ Movimientos a informar</t>
  </si>
  <si>
    <t>t) Patrimonio</t>
  </si>
  <si>
    <t>SALDO AL INICIO DEL PERIODO ANTERIOR G.</t>
  </si>
  <si>
    <t>DISMINUCIÓN</t>
  </si>
  <si>
    <t>SALDO AL CIERRE DEL PERIODO G.</t>
  </si>
  <si>
    <t>BVPASA Accion</t>
  </si>
  <si>
    <t>Prima por Emisión</t>
  </si>
  <si>
    <t>Aporte de Capital</t>
  </si>
  <si>
    <t>Resultados del Ejercicio</t>
  </si>
  <si>
    <t>TOTAL</t>
  </si>
  <si>
    <t>u) Previsiones</t>
  </si>
  <si>
    <t xml:space="preserve">v) Ingresos Operativos </t>
  </si>
  <si>
    <t>Ingresos por operaciones y servicios a personas relacionadas</t>
  </si>
  <si>
    <t>Período Actual</t>
  </si>
  <si>
    <t xml:space="preserve">Igual Período de año </t>
  </si>
  <si>
    <t xml:space="preserve"> en Gs.</t>
  </si>
  <si>
    <t>anterior en Gs.</t>
  </si>
  <si>
    <t xml:space="preserve">Otros Ingresos Operativos </t>
  </si>
  <si>
    <t>Venta de Acciones</t>
  </si>
  <si>
    <t>Venta de Bonos</t>
  </si>
  <si>
    <t>Venta de CDA</t>
  </si>
  <si>
    <t>Ingresos por Servicios de Rep. De Tenedores</t>
  </si>
  <si>
    <t xml:space="preserve">Ingresos por Operaciones y servicios extrabursatiles </t>
  </si>
  <si>
    <t>Otros ingresos</t>
  </si>
  <si>
    <t>w) Otros gastos operativos, de comercialización y de administración</t>
  </si>
  <si>
    <t>Aranceles por Negociación Bolsa de Valores</t>
  </si>
  <si>
    <t>Concepto</t>
  </si>
  <si>
    <t xml:space="preserve">Período Actual </t>
  </si>
  <si>
    <t xml:space="preserve"> Igual Período de año  </t>
  </si>
  <si>
    <t xml:space="preserve">      anterior en Gs.</t>
  </si>
  <si>
    <t>Aranceles por negociación en Bolsa</t>
  </si>
  <si>
    <t>Fondo de garantía - BVPASA</t>
  </si>
  <si>
    <t xml:space="preserve">Gastos Administrativos - BVPASA </t>
  </si>
  <si>
    <t>Aranceles – CNV y SEPRELAD</t>
  </si>
  <si>
    <t xml:space="preserve">Otros Gastos Operativos  </t>
  </si>
  <si>
    <t>Costo de venta de Acciones</t>
  </si>
  <si>
    <t>Costo De venta de C.D.A.</t>
  </si>
  <si>
    <t>Costo De venta de Bonos</t>
  </si>
  <si>
    <t>Otros Gastos de Comercialización</t>
  </si>
  <si>
    <t>Gastos de movilidad</t>
  </si>
  <si>
    <t>Útiles de oficina</t>
  </si>
  <si>
    <t>Descuentos Concedidos</t>
  </si>
  <si>
    <t>Combustibles y Lubricantes</t>
  </si>
  <si>
    <t xml:space="preserve">Otros Gastos de Administración </t>
  </si>
  <si>
    <t>Sueldos y jornales no deducibles</t>
  </si>
  <si>
    <t>Aporte patronal</t>
  </si>
  <si>
    <t>Aguinaldos pagados</t>
  </si>
  <si>
    <t>Vacaciones pagadas</t>
  </si>
  <si>
    <t>Indemnizaciones</t>
  </si>
  <si>
    <t>Remuneración personal superior</t>
  </si>
  <si>
    <t>Honorarios profesionales</t>
  </si>
  <si>
    <t>Impresiones</t>
  </si>
  <si>
    <t>Gratificaciones</t>
  </si>
  <si>
    <t>Gtos. De Representación</t>
  </si>
  <si>
    <t>Alquileres</t>
  </si>
  <si>
    <t>Agua, Luz y Telefono</t>
  </si>
  <si>
    <t>Comisiones y gastos bancarios operacionales</t>
  </si>
  <si>
    <t>Multas y recargos</t>
  </si>
  <si>
    <t>Gastos de consumición y limpieza</t>
  </si>
  <si>
    <t>Intereses Pagados</t>
  </si>
  <si>
    <t>Capacitación al Personal</t>
  </si>
  <si>
    <t>Seguridad y vigilancia</t>
  </si>
  <si>
    <t xml:space="preserve">Gastos no deducibles                     </t>
  </si>
  <si>
    <t>Iva Costo</t>
  </si>
  <si>
    <t>Servicios contratados</t>
  </si>
  <si>
    <t>Viáticos</t>
  </si>
  <si>
    <t>Otros gastos de administración</t>
  </si>
  <si>
    <t>Comisiones y gastos bancarios sobre operaciones crediticias</t>
  </si>
  <si>
    <t>x) Otros Ingresos y Egresos</t>
  </si>
  <si>
    <t>a-      Otros Ingresos:</t>
  </si>
  <si>
    <t>Igual Período de año anterior en Gs.</t>
  </si>
  <si>
    <t>Ingresos Varios</t>
  </si>
  <si>
    <t>Dividendos Cobrados</t>
  </si>
  <si>
    <t>Comisiones Cobradas</t>
  </si>
  <si>
    <t>Recupero de Aranceles BVA</t>
  </si>
  <si>
    <t>Totales:</t>
  </si>
  <si>
    <r>
      <t>b-</t>
    </r>
    <r>
      <rPr>
        <b/>
        <sz val="7"/>
        <rFont val="Times New Roman"/>
        <family val="1"/>
      </rPr>
      <t xml:space="preserve">      </t>
    </r>
    <r>
      <rPr>
        <b/>
        <sz val="11"/>
        <rFont val="Calibri"/>
        <family val="2"/>
      </rPr>
      <t>Otros Egresos:</t>
    </r>
  </si>
  <si>
    <t>y) Resultados Financieros</t>
  </si>
  <si>
    <r>
      <t>a-</t>
    </r>
    <r>
      <rPr>
        <b/>
        <sz val="10"/>
        <color indexed="8"/>
        <rFont val="Arial Nova"/>
        <family val="2"/>
      </rPr>
      <t>      Intereses cobrados:</t>
    </r>
  </si>
  <si>
    <t>Bancop</t>
  </si>
  <si>
    <t>Intereses Financieros</t>
  </si>
  <si>
    <t>Intereses Bursatiles Titulos/Bonos</t>
  </si>
  <si>
    <t>Utilidad/Perdida Venta de inversiones</t>
  </si>
  <si>
    <r>
      <t>b-</t>
    </r>
    <r>
      <rPr>
        <b/>
        <sz val="10"/>
        <color indexed="8"/>
        <rFont val="Arial Nova"/>
        <family val="2"/>
      </rPr>
      <t>      Intereses pagados:</t>
    </r>
  </si>
  <si>
    <t>Préstamo Bancop SA</t>
  </si>
  <si>
    <t xml:space="preserve">Préstamos </t>
  </si>
  <si>
    <t xml:space="preserve">z) Resultados Extraordinarios </t>
  </si>
  <si>
    <t>No Aplicable</t>
  </si>
  <si>
    <t>6)</t>
  </si>
  <si>
    <t>Información referente a contingencias y compromisos.</t>
  </si>
  <si>
    <t>a) Compromisos directos</t>
  </si>
  <si>
    <t>b) Contingencias Legales</t>
  </si>
  <si>
    <r>
      <t xml:space="preserve">c) Garantías constituidas: </t>
    </r>
    <r>
      <rPr>
        <sz val="10"/>
        <color indexed="8"/>
        <rFont val="Arial Nova"/>
        <family val="2"/>
      </rPr>
      <t>Póliza de Caución / Garantía de Desempeño Profesional</t>
    </r>
  </si>
  <si>
    <t>Detalle de la Póliza</t>
  </si>
  <si>
    <t>Compañía de Seguro :</t>
  </si>
  <si>
    <t>Aseguradora Paraguaya S.A.E.C.A.</t>
  </si>
  <si>
    <t>Número de Póliza :</t>
  </si>
  <si>
    <t>Asegurado :</t>
  </si>
  <si>
    <t>Bolsa de Valores y Productos de Asunción S.A.</t>
  </si>
  <si>
    <t>Tomador:</t>
  </si>
  <si>
    <t>Fecha de emisión :</t>
  </si>
  <si>
    <t>Vigencia desde :</t>
  </si>
  <si>
    <t>Vigencia hasta :</t>
  </si>
  <si>
    <t>Plazo en días :</t>
  </si>
  <si>
    <t>Capital máximo asegurado :</t>
  </si>
  <si>
    <t>Gs. 548.209.750.-</t>
  </si>
  <si>
    <t xml:space="preserve">7) </t>
  </si>
  <si>
    <t>Hechos posteriores al cierre del ejercicio.</t>
  </si>
  <si>
    <t>No existen hechos posteriores al cierre del ejercicio que impliquen alteraciones significativas a la estructura patrimonial y resultado del ejercicio.</t>
  </si>
  <si>
    <t xml:space="preserve">8) </t>
  </si>
  <si>
    <t>Limitación a la libre disponibilidad de los activos o del patrimonio y cualquier restricción al derecho de propiedad.</t>
  </si>
  <si>
    <t>La firma cuenta  con la libre disposicion  de su patrimonio.</t>
  </si>
  <si>
    <t>9)</t>
  </si>
  <si>
    <t>Cambios Contables.</t>
  </si>
  <si>
    <t>Con referencia a la contabilizacion de ventas de ttitutlos / Valores Financieros, se refleja actualmente solo los montos netos de ganancia/perdida</t>
  </si>
  <si>
    <t>10)</t>
  </si>
  <si>
    <t>Restricciones para distribución de utilidades.</t>
  </si>
  <si>
    <t>11)</t>
  </si>
  <si>
    <t>Sanciones.</t>
  </si>
  <si>
    <t>No Posee sanciones con la Comision Nacional de Valores u otras entidades fiscalizadoras.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</si>
</sst>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_ ;_ * \-#,##0_ ;_ * &quot;-&quot;_ ;_ @_ "/>
    <numFmt numFmtId="165" formatCode="_-* #,##0_-;\-* #,##0_-;_-* &quot;-&quot;??_-;_-@_-"/>
    <numFmt numFmtId="166" formatCode="_(* #,##0.00_);_(* \(#,##0.00\);_(* \-??_);_(@_)"/>
    <numFmt numFmtId="167" formatCode="_-* #,##0.00\ _€_-;\-* #,##0.00\ _€_-;_-* &quot;-&quot;??\ _€_-;_-@_-"/>
    <numFmt numFmtId="168" formatCode="&quot;₲&quot;\ #,##0"/>
    <numFmt numFmtId="169" formatCode="dd/mm/yyyy;@"/>
  </numFmts>
  <fonts count="106">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10"/>
      <color theme="1"/>
      <name val="Times New Roman"/>
      <family val="1"/>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sz val="12"/>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rgb="FFFF0000"/>
      <name val="Calibri"/>
      <family val="2"/>
      <scheme val="minor"/>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rgb="FF000000"/>
      <name val="Calibri"/>
      <family val="2"/>
      <scheme val="minor"/>
    </font>
    <font>
      <sz val="9"/>
      <color theme="1"/>
      <name val="EYInterstate Light"/>
    </font>
    <font>
      <b/>
      <sz val="9"/>
      <color theme="1"/>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1"/>
      <color theme="1"/>
      <name val="Museo Sans 100"/>
      <family val="3"/>
    </font>
    <font>
      <b/>
      <sz val="9"/>
      <color theme="1"/>
      <name val="Arial Nova"/>
      <family val="2"/>
    </font>
    <font>
      <sz val="9"/>
      <color theme="1"/>
      <name val="Arial Nova"/>
      <family val="2"/>
    </font>
    <font>
      <sz val="11"/>
      <color theme="1"/>
      <name val="Arial Nova"/>
      <family val="2"/>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sz val="8"/>
      <color theme="1"/>
      <name val="Arial Nova"/>
      <family val="2"/>
    </font>
    <font>
      <b/>
      <i/>
      <sz val="10"/>
      <color theme="1"/>
      <name val="Arial Nova"/>
      <family val="2"/>
    </font>
    <font>
      <i/>
      <sz val="10"/>
      <color indexed="8"/>
      <name val="Arial Nova"/>
      <family val="2"/>
    </font>
    <font>
      <sz val="7"/>
      <color theme="1"/>
      <name val="Arial Nova"/>
      <family val="2"/>
    </font>
    <font>
      <b/>
      <sz val="8"/>
      <color theme="1"/>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b/>
      <sz val="9"/>
      <color theme="4"/>
      <name val="Arial Nova"/>
      <family val="2"/>
    </font>
    <font>
      <b/>
      <sz val="8"/>
      <color theme="4"/>
      <name val="Arial Nova"/>
      <family val="2"/>
    </font>
    <font>
      <sz val="7"/>
      <name val="Arial Nova"/>
      <family val="2"/>
    </font>
    <font>
      <sz val="8"/>
      <name val="Calibri"/>
      <family val="2"/>
    </font>
    <font>
      <sz val="9"/>
      <color theme="4"/>
      <name val="Calibri"/>
      <family val="2"/>
    </font>
    <font>
      <b/>
      <sz val="11"/>
      <color theme="4"/>
      <name val="Arial Nova"/>
      <family val="2"/>
    </font>
    <font>
      <b/>
      <sz val="11"/>
      <name val="Arial Nova"/>
      <family val="2"/>
    </font>
    <font>
      <sz val="9"/>
      <name val="Arial Nova"/>
      <family val="2"/>
    </font>
    <font>
      <b/>
      <sz val="9"/>
      <color rgb="FFFF0000"/>
      <name val="Arial"/>
      <family val="2"/>
    </font>
    <font>
      <sz val="10"/>
      <color rgb="FFFF0000"/>
      <name val="Times New Roman"/>
      <family val="1"/>
    </font>
    <font>
      <sz val="11"/>
      <color rgb="FFFF0000"/>
      <name val="Calibri"/>
      <family val="2"/>
    </font>
    <font>
      <b/>
      <sz val="10"/>
      <name val="Arial"/>
      <family val="2"/>
    </font>
  </fonts>
  <fills count="10">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s>
  <cellStyleXfs count="15">
    <xf numFmtId="0" fontId="0" fillId="0" borderId="0"/>
    <xf numFmtId="0" fontId="13" fillId="0" borderId="0"/>
    <xf numFmtId="43" fontId="14" fillId="0" borderId="0" applyFont="0" applyFill="0" applyBorder="0" applyAlignment="0" applyProtection="0"/>
    <xf numFmtId="164" fontId="14" fillId="0" borderId="0" applyFont="0" applyFill="0" applyBorder="0" applyAlignment="0" applyProtection="0"/>
    <xf numFmtId="166" fontId="8" fillId="0" borderId="0" applyFill="0" applyBorder="0" applyAlignment="0" applyProtection="0"/>
    <xf numFmtId="167" fontId="14" fillId="0" borderId="0" applyFont="0" applyFill="0" applyBorder="0" applyAlignment="0" applyProtection="0"/>
    <xf numFmtId="0" fontId="8" fillId="0" borderId="0"/>
    <xf numFmtId="9"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cellStyleXfs>
  <cellXfs count="450">
    <xf numFmtId="0" fontId="0" fillId="0" borderId="0" xfId="0"/>
    <xf numFmtId="0" fontId="15" fillId="0" borderId="0" xfId="0" applyFont="1"/>
    <xf numFmtId="0" fontId="17" fillId="0" borderId="0" xfId="0" applyFont="1" applyAlignment="1">
      <alignment vertical="center" wrapText="1"/>
    </xf>
    <xf numFmtId="0" fontId="19" fillId="0" borderId="0" xfId="0" applyFont="1"/>
    <xf numFmtId="0" fontId="19" fillId="0" borderId="0" xfId="0" applyFont="1" applyAlignment="1">
      <alignment horizontal="center"/>
    </xf>
    <xf numFmtId="0" fontId="23" fillId="0" borderId="0" xfId="0" applyFont="1"/>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left" vertical="center" wrapText="1"/>
    </xf>
    <xf numFmtId="4"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0" fontId="24" fillId="0" borderId="0" xfId="0" applyFont="1" applyAlignment="1">
      <alignment horizontal="right" vertical="center"/>
    </xf>
    <xf numFmtId="3" fontId="0" fillId="0" borderId="0" xfId="0" applyNumberFormat="1"/>
    <xf numFmtId="0" fontId="29" fillId="0" borderId="0" xfId="0" applyFont="1" applyAlignment="1">
      <alignment horizontal="right" vertical="center"/>
    </xf>
    <xf numFmtId="3" fontId="30" fillId="0" borderId="0" xfId="0" applyNumberFormat="1"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right" vertical="center"/>
    </xf>
    <xf numFmtId="0" fontId="28" fillId="0" borderId="0" xfId="0" applyFont="1" applyAlignment="1">
      <alignment horizontal="right" vertical="center"/>
    </xf>
    <xf numFmtId="165" fontId="0" fillId="0" borderId="0" xfId="0" applyNumberFormat="1"/>
    <xf numFmtId="0" fontId="34" fillId="0" borderId="0" xfId="0" applyFont="1"/>
    <xf numFmtId="0" fontId="35" fillId="0" borderId="0" xfId="0" applyFont="1"/>
    <xf numFmtId="165" fontId="35" fillId="0" borderId="0" xfId="2" applyNumberFormat="1" applyFont="1"/>
    <xf numFmtId="43" fontId="31" fillId="0" borderId="0" xfId="2" applyFont="1" applyBorder="1" applyAlignment="1">
      <alignment horizontal="right" vertical="center"/>
    </xf>
    <xf numFmtId="43" fontId="28" fillId="0" borderId="0" xfId="2" applyFont="1" applyBorder="1" applyAlignment="1">
      <alignment horizontal="right" vertical="center"/>
    </xf>
    <xf numFmtId="0" fontId="31" fillId="0" borderId="0" xfId="0" applyFont="1" applyAlignment="1">
      <alignment horizontal="right" vertical="center" wrapText="1"/>
    </xf>
    <xf numFmtId="0" fontId="28" fillId="0" borderId="0" xfId="0" applyFont="1" applyAlignment="1">
      <alignment horizontal="right" vertical="center" wrapText="1"/>
    </xf>
    <xf numFmtId="0" fontId="28" fillId="0" borderId="0" xfId="0" applyFont="1" applyAlignment="1">
      <alignment vertical="center"/>
    </xf>
    <xf numFmtId="0" fontId="36" fillId="0" borderId="0" xfId="0" applyFont="1"/>
    <xf numFmtId="3" fontId="36" fillId="0" borderId="0" xfId="0" applyNumberFormat="1" applyFont="1"/>
    <xf numFmtId="0" fontId="38" fillId="0" borderId="4" xfId="0" applyFont="1" applyBorder="1" applyAlignment="1">
      <alignment vertical="center" wrapText="1"/>
    </xf>
    <xf numFmtId="0" fontId="12" fillId="0" borderId="1" xfId="0" applyFont="1" applyBorder="1" applyAlignment="1">
      <alignment vertical="center" wrapText="1"/>
    </xf>
    <xf numFmtId="0" fontId="16" fillId="0" borderId="6" xfId="0" applyFont="1" applyBorder="1" applyAlignment="1">
      <alignment vertical="center" wrapText="1"/>
    </xf>
    <xf numFmtId="0" fontId="16" fillId="0" borderId="8" xfId="0" applyFont="1" applyBorder="1" applyAlignment="1">
      <alignment vertical="center" wrapText="1"/>
    </xf>
    <xf numFmtId="164" fontId="11" fillId="0" borderId="9" xfId="3" applyFont="1" applyBorder="1" applyAlignment="1">
      <alignment vertical="center" wrapText="1"/>
    </xf>
    <xf numFmtId="0" fontId="11" fillId="0" borderId="9" xfId="0" applyFont="1" applyBorder="1" applyAlignment="1">
      <alignment vertical="center" wrapText="1"/>
    </xf>
    <xf numFmtId="0" fontId="30" fillId="0" borderId="0" xfId="0" applyFont="1" applyAlignment="1">
      <alignment horizontal="center" vertical="center"/>
    </xf>
    <xf numFmtId="0" fontId="33" fillId="0" borderId="0" xfId="0" applyFont="1" applyAlignment="1">
      <alignment horizontal="right" vertical="center"/>
    </xf>
    <xf numFmtId="0" fontId="40" fillId="0" borderId="0" xfId="0" applyFont="1"/>
    <xf numFmtId="3" fontId="35" fillId="0" borderId="0" xfId="0" applyNumberFormat="1" applyFont="1"/>
    <xf numFmtId="0" fontId="41" fillId="0" borderId="0" xfId="0" applyFont="1"/>
    <xf numFmtId="165" fontId="35" fillId="0" borderId="0" xfId="0" applyNumberFormat="1" applyFont="1"/>
    <xf numFmtId="1" fontId="35" fillId="0" borderId="0" xfId="0" applyNumberFormat="1" applyFont="1"/>
    <xf numFmtId="3" fontId="0" fillId="0" borderId="1" xfId="0" applyNumberFormat="1" applyBorder="1"/>
    <xf numFmtId="0" fontId="26" fillId="0" borderId="1" xfId="0" applyFont="1" applyBorder="1" applyAlignment="1">
      <alignment vertical="center"/>
    </xf>
    <xf numFmtId="165" fontId="26" fillId="0" borderId="1" xfId="2" applyNumberFormat="1" applyFont="1" applyFill="1" applyBorder="1" applyAlignment="1">
      <alignment horizontal="right" vertical="center"/>
    </xf>
    <xf numFmtId="0" fontId="24" fillId="0" borderId="1" xfId="0" applyFont="1" applyBorder="1" applyAlignment="1">
      <alignment vertical="center"/>
    </xf>
    <xf numFmtId="165" fontId="24" fillId="0" borderId="1" xfId="2" applyNumberFormat="1" applyFont="1" applyBorder="1" applyAlignment="1">
      <alignment horizontal="right" vertical="center"/>
    </xf>
    <xf numFmtId="3" fontId="0" fillId="0" borderId="1" xfId="0" applyNumberFormat="1" applyBorder="1" applyAlignment="1">
      <alignment wrapText="1"/>
    </xf>
    <xf numFmtId="165" fontId="31" fillId="0" borderId="1" xfId="2" applyNumberFormat="1" applyFont="1" applyFill="1" applyBorder="1" applyAlignment="1">
      <alignment horizontal="right" vertical="center"/>
    </xf>
    <xf numFmtId="165" fontId="24" fillId="0" borderId="1" xfId="2" applyNumberFormat="1" applyFont="1" applyFill="1" applyBorder="1" applyAlignment="1">
      <alignment horizontal="right" vertical="center"/>
    </xf>
    <xf numFmtId="0" fontId="19" fillId="0" borderId="0" xfId="0" applyFont="1" applyAlignment="1">
      <alignment horizontal="center" vertical="center"/>
    </xf>
    <xf numFmtId="0" fontId="24" fillId="0" borderId="0" xfId="0" applyFont="1" applyAlignment="1">
      <alignment vertical="center"/>
    </xf>
    <xf numFmtId="0" fontId="26" fillId="0" borderId="1" xfId="0" applyFont="1" applyBorder="1" applyAlignment="1">
      <alignment horizontal="justify" vertical="center" wrapText="1"/>
    </xf>
    <xf numFmtId="0" fontId="24" fillId="0" borderId="1" xfId="0" applyFont="1" applyBorder="1" applyAlignment="1">
      <alignment horizontal="justify" vertical="center" wrapText="1"/>
    </xf>
    <xf numFmtId="3" fontId="24" fillId="0" borderId="1" xfId="0" applyNumberFormat="1" applyFont="1" applyBorder="1" applyAlignment="1">
      <alignment horizontal="right" vertical="center" wrapText="1"/>
    </xf>
    <xf numFmtId="0" fontId="26" fillId="0" borderId="1" xfId="0" applyFont="1" applyBorder="1" applyAlignment="1">
      <alignment vertical="center" wrapText="1"/>
    </xf>
    <xf numFmtId="0" fontId="31" fillId="0" borderId="1" xfId="0" applyFont="1" applyBorder="1" applyAlignment="1">
      <alignment horizontal="justify" vertical="center" wrapText="1"/>
    </xf>
    <xf numFmtId="3"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Border="1" applyAlignment="1">
      <alignment horizontal="right" vertical="center" wrapText="1"/>
    </xf>
    <xf numFmtId="165" fontId="31" fillId="0" borderId="1" xfId="2" applyNumberFormat="1" applyFont="1" applyFill="1" applyBorder="1" applyAlignment="1">
      <alignment horizontal="right" vertical="center" wrapText="1"/>
    </xf>
    <xf numFmtId="0" fontId="31" fillId="0" borderId="1" xfId="0" applyFont="1" applyBorder="1" applyAlignment="1">
      <alignment vertical="center"/>
    </xf>
    <xf numFmtId="165" fontId="31" fillId="0" borderId="1" xfId="2" applyNumberFormat="1" applyFont="1" applyBorder="1" applyAlignment="1">
      <alignment horizontal="right" vertical="center"/>
    </xf>
    <xf numFmtId="0" fontId="28" fillId="0" borderId="1" xfId="0" applyFont="1" applyBorder="1" applyAlignment="1">
      <alignment vertical="center"/>
    </xf>
    <xf numFmtId="0" fontId="31" fillId="0" borderId="1" xfId="0" applyFont="1" applyBorder="1" applyAlignment="1">
      <alignment vertical="center" wrapText="1"/>
    </xf>
    <xf numFmtId="0" fontId="28" fillId="0" borderId="1" xfId="0" applyFont="1" applyBorder="1" applyAlignment="1">
      <alignment vertical="center" wrapText="1"/>
    </xf>
    <xf numFmtId="165" fontId="28" fillId="0" borderId="1" xfId="2" applyNumberFormat="1" applyFont="1" applyBorder="1" applyAlignment="1">
      <alignment horizontal="right" vertical="center" wrapText="1"/>
    </xf>
    <xf numFmtId="165" fontId="28" fillId="0" borderId="1" xfId="2" applyNumberFormat="1" applyFont="1" applyBorder="1" applyAlignment="1">
      <alignment horizontal="right" vertical="center"/>
    </xf>
    <xf numFmtId="0" fontId="28" fillId="0" borderId="1" xfId="0" applyFont="1" applyBorder="1" applyAlignment="1">
      <alignment horizontal="right" vertical="center" wrapText="1"/>
    </xf>
    <xf numFmtId="0" fontId="31" fillId="0" borderId="1" xfId="0" applyFont="1" applyBorder="1" applyAlignment="1">
      <alignment horizontal="right" vertical="center"/>
    </xf>
    <xf numFmtId="0" fontId="28" fillId="0" borderId="1" xfId="0" applyFont="1" applyBorder="1" applyAlignment="1">
      <alignment horizontal="right" vertical="center"/>
    </xf>
    <xf numFmtId="0" fontId="31"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3" fontId="31" fillId="0" borderId="1" xfId="0" applyNumberFormat="1" applyFont="1" applyBorder="1" applyAlignment="1">
      <alignment horizontal="right" vertical="center"/>
    </xf>
    <xf numFmtId="3" fontId="28" fillId="0" borderId="1" xfId="0" applyNumberFormat="1" applyFont="1" applyBorder="1" applyAlignment="1">
      <alignment horizontal="right" vertical="center"/>
    </xf>
    <xf numFmtId="0" fontId="29" fillId="0" borderId="1" xfId="0" applyFont="1" applyBorder="1" applyAlignment="1">
      <alignment vertical="center"/>
    </xf>
    <xf numFmtId="165" fontId="29" fillId="0" borderId="1" xfId="2" applyNumberFormat="1" applyFont="1" applyFill="1" applyBorder="1" applyAlignment="1">
      <alignment horizontal="right" vertical="center"/>
    </xf>
    <xf numFmtId="165" fontId="29" fillId="0" borderId="1" xfId="2" applyNumberFormat="1" applyFont="1" applyBorder="1" applyAlignment="1">
      <alignment horizontal="right" vertical="center"/>
    </xf>
    <xf numFmtId="0" fontId="30" fillId="0" borderId="1" xfId="0" applyFont="1" applyBorder="1" applyAlignment="1">
      <alignment vertical="center"/>
    </xf>
    <xf numFmtId="165" fontId="30" fillId="0" borderId="1" xfId="2" applyNumberFormat="1" applyFont="1" applyBorder="1" applyAlignment="1">
      <alignment horizontal="right" vertical="center"/>
    </xf>
    <xf numFmtId="0" fontId="24" fillId="0" borderId="1" xfId="0" applyFont="1" applyBorder="1" applyAlignment="1">
      <alignment vertical="center" wrapText="1"/>
    </xf>
    <xf numFmtId="4" fontId="31"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4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4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4" fontId="43"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0" fontId="32" fillId="2" borderId="1" xfId="0" applyFont="1" applyFill="1" applyBorder="1" applyAlignment="1">
      <alignment vertical="center"/>
    </xf>
    <xf numFmtId="0" fontId="46" fillId="2" borderId="1" xfId="0" applyFont="1" applyFill="1" applyBorder="1" applyAlignment="1">
      <alignment vertical="center"/>
    </xf>
    <xf numFmtId="0" fontId="47" fillId="0" borderId="1" xfId="0" applyFont="1" applyBorder="1" applyAlignment="1">
      <alignment vertical="center"/>
    </xf>
    <xf numFmtId="3" fontId="47" fillId="0" borderId="1" xfId="0" applyNumberFormat="1" applyFont="1" applyBorder="1" applyAlignment="1">
      <alignment horizontal="right" vertical="center"/>
    </xf>
    <xf numFmtId="0" fontId="32" fillId="0" borderId="1" xfId="0" applyFont="1" applyBorder="1" applyAlignment="1">
      <alignment vertical="center"/>
    </xf>
    <xf numFmtId="0" fontId="0" fillId="0" borderId="0" xfId="0" applyAlignment="1">
      <alignment horizontal="right"/>
    </xf>
    <xf numFmtId="0" fontId="15" fillId="0" borderId="0" xfId="0" applyFont="1" applyAlignment="1">
      <alignment horizontal="right"/>
    </xf>
    <xf numFmtId="0" fontId="28"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 xfId="0" applyFont="1" applyFill="1" applyBorder="1" applyAlignment="1">
      <alignment vertical="center" wrapText="1"/>
    </xf>
    <xf numFmtId="0" fontId="31" fillId="4" borderId="1" xfId="0" applyFont="1" applyFill="1" applyBorder="1" applyAlignment="1">
      <alignment horizontal="right" vertical="center" wrapText="1"/>
    </xf>
    <xf numFmtId="3" fontId="28" fillId="0" borderId="1" xfId="0" applyNumberFormat="1" applyFont="1" applyBorder="1" applyAlignment="1">
      <alignment vertical="center" wrapText="1"/>
    </xf>
    <xf numFmtId="3" fontId="31" fillId="0" borderId="1" xfId="2" applyNumberFormat="1" applyFont="1" applyBorder="1" applyAlignment="1">
      <alignment vertical="center" wrapText="1"/>
    </xf>
    <xf numFmtId="3" fontId="31" fillId="0" borderId="1" xfId="0" applyNumberFormat="1" applyFont="1" applyBorder="1" applyAlignment="1">
      <alignment vertical="center" wrapText="1"/>
    </xf>
    <xf numFmtId="3" fontId="31" fillId="0" borderId="1" xfId="3" applyNumberFormat="1" applyFont="1" applyBorder="1" applyAlignment="1">
      <alignment vertical="center" wrapText="1"/>
    </xf>
    <xf numFmtId="0" fontId="49" fillId="2" borderId="1" xfId="0" applyFont="1" applyFill="1" applyBorder="1" applyAlignment="1">
      <alignment vertical="center"/>
    </xf>
    <xf numFmtId="3" fontId="49" fillId="2" borderId="1" xfId="0" applyNumberFormat="1" applyFont="1" applyFill="1" applyBorder="1" applyAlignment="1">
      <alignment horizontal="right" vertical="center"/>
    </xf>
    <xf numFmtId="0" fontId="50" fillId="0" borderId="1" xfId="0" applyFont="1" applyBorder="1" applyAlignment="1">
      <alignment vertical="center"/>
    </xf>
    <xf numFmtId="0" fontId="52" fillId="0" borderId="1" xfId="0" applyFont="1" applyBorder="1" applyAlignment="1">
      <alignment vertical="center"/>
    </xf>
    <xf numFmtId="0" fontId="51" fillId="0" borderId="1" xfId="0" applyFont="1" applyBorder="1" applyAlignment="1">
      <alignment vertical="center"/>
    </xf>
    <xf numFmtId="3" fontId="51" fillId="0" borderId="1" xfId="0" applyNumberFormat="1" applyFont="1" applyBorder="1" applyAlignment="1">
      <alignment horizontal="right" vertical="center"/>
    </xf>
    <xf numFmtId="3" fontId="49" fillId="0" borderId="1" xfId="0" applyNumberFormat="1" applyFont="1" applyBorder="1" applyAlignment="1">
      <alignment horizontal="right" vertical="center"/>
    </xf>
    <xf numFmtId="0" fontId="49" fillId="0" borderId="1" xfId="0" applyFont="1" applyBorder="1" applyAlignment="1">
      <alignment vertical="center"/>
    </xf>
    <xf numFmtId="3" fontId="9" fillId="0" borderId="1" xfId="0" applyNumberFormat="1" applyFont="1" applyBorder="1" applyAlignment="1">
      <alignment horizontal="right" vertical="center" wrapText="1"/>
    </xf>
    <xf numFmtId="0" fontId="18" fillId="0" borderId="1" xfId="0" applyFont="1" applyBorder="1" applyAlignment="1">
      <alignment vertical="center"/>
    </xf>
    <xf numFmtId="4" fontId="18" fillId="0" borderId="1" xfId="0" applyNumberFormat="1" applyFont="1" applyBorder="1" applyAlignment="1">
      <alignment horizontal="justify" vertical="center" wrapText="1"/>
    </xf>
    <xf numFmtId="0" fontId="7" fillId="0" borderId="12" xfId="0" applyFont="1" applyBorder="1" applyAlignment="1">
      <alignment horizontal="right" vertical="center" wrapText="1"/>
    </xf>
    <xf numFmtId="3" fontId="3" fillId="0" borderId="19" xfId="0" applyNumberFormat="1" applyFont="1" applyBorder="1" applyAlignment="1">
      <alignment horizontal="right" vertical="center" wrapText="1"/>
    </xf>
    <xf numFmtId="3" fontId="7" fillId="0" borderId="19" xfId="0" applyNumberFormat="1" applyFont="1" applyBorder="1" applyAlignment="1">
      <alignment horizontal="right" vertical="center" wrapText="1"/>
    </xf>
    <xf numFmtId="0" fontId="7" fillId="0" borderId="19" xfId="0" applyFont="1" applyBorder="1" applyAlignment="1">
      <alignment horizontal="right" vertical="center" wrapText="1"/>
    </xf>
    <xf numFmtId="165" fontId="7" fillId="0" borderId="19" xfId="2" applyNumberFormat="1" applyFont="1" applyBorder="1" applyAlignment="1">
      <alignment horizontal="right" vertical="center" wrapText="1"/>
    </xf>
    <xf numFmtId="0" fontId="3" fillId="0" borderId="19" xfId="0" applyFont="1" applyBorder="1" applyAlignment="1">
      <alignment horizontal="right" vertical="center" wrapText="1"/>
    </xf>
    <xf numFmtId="0" fontId="37" fillId="0" borderId="19" xfId="0" applyFont="1" applyBorder="1" applyAlignment="1">
      <alignment vertical="top" wrapText="1"/>
    </xf>
    <xf numFmtId="4" fontId="45" fillId="0" borderId="1" xfId="0" applyNumberFormat="1" applyFont="1" applyBorder="1" applyAlignment="1">
      <alignment vertical="top" wrapText="1"/>
    </xf>
    <xf numFmtId="3" fontId="45" fillId="0" borderId="1" xfId="0" applyNumberFormat="1" applyFont="1" applyBorder="1" applyAlignment="1">
      <alignment vertical="top" wrapText="1"/>
    </xf>
    <xf numFmtId="4" fontId="44" fillId="0" borderId="1" xfId="0" applyNumberFormat="1" applyFont="1" applyBorder="1" applyAlignment="1">
      <alignment horizontal="center" vertical="center" wrapText="1"/>
    </xf>
    <xf numFmtId="165" fontId="28" fillId="0" borderId="0" xfId="0" applyNumberFormat="1" applyFont="1" applyAlignment="1">
      <alignment horizontal="right" vertical="center"/>
    </xf>
    <xf numFmtId="3" fontId="26" fillId="0" borderId="1" xfId="0" applyNumberFormat="1" applyFont="1" applyBorder="1" applyAlignment="1">
      <alignment horizontal="right" vertical="center" wrapText="1"/>
    </xf>
    <xf numFmtId="0" fontId="24" fillId="0" borderId="0" xfId="0" applyFont="1" applyAlignment="1">
      <alignment horizontal="left" vertical="center"/>
    </xf>
    <xf numFmtId="0" fontId="53" fillId="0" borderId="0" xfId="0" applyFont="1"/>
    <xf numFmtId="0" fontId="54" fillId="0" borderId="0" xfId="0" applyFont="1"/>
    <xf numFmtId="0" fontId="55" fillId="0" borderId="0" xfId="0" applyFont="1" applyAlignment="1">
      <alignment wrapText="1"/>
    </xf>
    <xf numFmtId="3" fontId="11" fillId="0" borderId="1" xfId="0" applyNumberFormat="1" applyFont="1" applyBorder="1" applyAlignment="1">
      <alignment vertical="center" wrapText="1"/>
    </xf>
    <xf numFmtId="3" fontId="11" fillId="0" borderId="7" xfId="3" applyNumberFormat="1" applyFont="1" applyBorder="1" applyAlignment="1">
      <alignment vertical="center" wrapText="1"/>
    </xf>
    <xf numFmtId="3" fontId="11" fillId="0" borderId="9" xfId="3" applyNumberFormat="1" applyFont="1" applyBorder="1" applyAlignment="1">
      <alignment vertical="center" wrapText="1"/>
    </xf>
    <xf numFmtId="4" fontId="45" fillId="0" borderId="1" xfId="0" applyNumberFormat="1" applyFont="1" applyBorder="1" applyAlignment="1">
      <alignment horizontal="center" vertical="top" wrapText="1"/>
    </xf>
    <xf numFmtId="3" fontId="52" fillId="0" borderId="1" xfId="0" applyNumberFormat="1" applyFont="1" applyBorder="1" applyAlignment="1">
      <alignment horizontal="right" vertical="center"/>
    </xf>
    <xf numFmtId="0" fontId="61" fillId="0" borderId="0" xfId="0" applyFont="1" applyAlignment="1">
      <alignment horizontal="justify" vertical="center"/>
    </xf>
    <xf numFmtId="0" fontId="59" fillId="0" borderId="1" xfId="0" applyFont="1" applyBorder="1" applyAlignment="1">
      <alignment horizontal="center" vertical="center"/>
    </xf>
    <xf numFmtId="165" fontId="9" fillId="0" borderId="1" xfId="2" applyNumberFormat="1" applyFont="1" applyFill="1" applyBorder="1" applyAlignment="1">
      <alignment horizontal="right" vertical="center" wrapText="1"/>
    </xf>
    <xf numFmtId="0" fontId="59" fillId="0" borderId="1" xfId="0" applyFont="1" applyBorder="1" applyAlignment="1">
      <alignment vertical="center"/>
    </xf>
    <xf numFmtId="165" fontId="59" fillId="0" borderId="1" xfId="2" applyNumberFormat="1" applyFont="1" applyFill="1" applyBorder="1" applyAlignment="1">
      <alignment horizontal="right" vertical="center" wrapText="1"/>
    </xf>
    <xf numFmtId="165" fontId="59" fillId="0" borderId="1" xfId="2" applyNumberFormat="1" applyFont="1" applyFill="1" applyBorder="1" applyAlignment="1">
      <alignment horizontal="right" vertical="center"/>
    </xf>
    <xf numFmtId="0" fontId="61" fillId="0" borderId="0" xfId="0" applyFont="1" applyAlignment="1">
      <alignment vertical="center"/>
    </xf>
    <xf numFmtId="0" fontId="10" fillId="0" borderId="1" xfId="0" applyFont="1" applyBorder="1" applyAlignment="1">
      <alignment horizontal="justify" vertical="center" wrapText="1"/>
    </xf>
    <xf numFmtId="3" fontId="10" fillId="0" borderId="1" xfId="0" applyNumberFormat="1" applyFont="1" applyBorder="1" applyAlignment="1">
      <alignment horizontal="right" vertical="center" wrapText="1"/>
    </xf>
    <xf numFmtId="0" fontId="61" fillId="0" borderId="1" xfId="0" applyFont="1" applyBorder="1" applyAlignment="1">
      <alignment horizontal="justify" vertical="center" wrapText="1"/>
    </xf>
    <xf numFmtId="3" fontId="61"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61" fillId="0" borderId="1" xfId="0" applyFont="1" applyBorder="1" applyAlignment="1">
      <alignment horizontal="right" vertical="center" wrapText="1"/>
    </xf>
    <xf numFmtId="0" fontId="24" fillId="0" borderId="0" xfId="0" applyFont="1" applyAlignment="1">
      <alignment horizontal="center" vertical="center"/>
    </xf>
    <xf numFmtId="0" fontId="68" fillId="0" borderId="0" xfId="0" applyFont="1" applyAlignment="1">
      <alignment horizontal="justify" vertical="center"/>
    </xf>
    <xf numFmtId="0" fontId="70" fillId="0" borderId="0" xfId="0" applyFont="1"/>
    <xf numFmtId="0" fontId="70" fillId="0" borderId="0" xfId="0" applyFont="1" applyAlignment="1">
      <alignment horizontal="justify" vertical="center"/>
    </xf>
    <xf numFmtId="0" fontId="70" fillId="0" borderId="0" xfId="0" applyFont="1" applyAlignment="1">
      <alignment horizontal="left" vertical="center"/>
    </xf>
    <xf numFmtId="0" fontId="68" fillId="0" borderId="0" xfId="0" applyFont="1" applyAlignment="1">
      <alignment horizontal="left" vertical="center"/>
    </xf>
    <xf numFmtId="0" fontId="68" fillId="0" borderId="0" xfId="0" applyFont="1"/>
    <xf numFmtId="0" fontId="73" fillId="0" borderId="0" xfId="0" applyFont="1"/>
    <xf numFmtId="0" fontId="68" fillId="0" borderId="0" xfId="0" applyFont="1" applyAlignment="1">
      <alignment vertical="center"/>
    </xf>
    <xf numFmtId="0" fontId="70" fillId="0" borderId="1" xfId="0" applyFont="1" applyBorder="1"/>
    <xf numFmtId="0" fontId="74" fillId="0" borderId="0" xfId="0" applyFont="1" applyAlignment="1">
      <alignment vertical="center"/>
    </xf>
    <xf numFmtId="3" fontId="70" fillId="0" borderId="0" xfId="0" applyNumberFormat="1" applyFont="1"/>
    <xf numFmtId="0" fontId="68" fillId="0" borderId="0" xfId="0" applyFont="1" applyAlignment="1">
      <alignment horizontal="left" wrapText="1"/>
    </xf>
    <xf numFmtId="165" fontId="70" fillId="0" borderId="3" xfId="2" applyNumberFormat="1" applyFont="1" applyFill="1" applyBorder="1" applyAlignment="1">
      <alignment horizontal="right" vertical="center"/>
    </xf>
    <xf numFmtId="165" fontId="76" fillId="0" borderId="0" xfId="2" applyNumberFormat="1" applyFont="1" applyFill="1" applyBorder="1" applyAlignment="1">
      <alignment horizontal="right" vertical="center"/>
    </xf>
    <xf numFmtId="49" fontId="70" fillId="0" borderId="11" xfId="0" applyNumberFormat="1" applyFont="1" applyBorder="1" applyAlignment="1">
      <alignment horizontal="left" vertical="center" indent="5"/>
    </xf>
    <xf numFmtId="0" fontId="74" fillId="0" borderId="0" xfId="0" applyFont="1" applyAlignment="1">
      <alignment horizontal="justify" vertical="center"/>
    </xf>
    <xf numFmtId="0" fontId="56" fillId="0" borderId="0" xfId="0" applyFont="1" applyAlignment="1">
      <alignment vertical="center"/>
    </xf>
    <xf numFmtId="0" fontId="68" fillId="5" borderId="0" xfId="0" applyFont="1" applyFill="1" applyAlignment="1">
      <alignment horizontal="left" vertical="center" indent="4"/>
    </xf>
    <xf numFmtId="0" fontId="68" fillId="5" borderId="0" xfId="0" applyFont="1" applyFill="1"/>
    <xf numFmtId="3" fontId="68" fillId="5" borderId="0" xfId="0" applyNumberFormat="1" applyFont="1" applyFill="1"/>
    <xf numFmtId="0" fontId="0" fillId="0" borderId="1" xfId="0" applyBorder="1"/>
    <xf numFmtId="164" fontId="78" fillId="0" borderId="1" xfId="3" applyFont="1" applyBorder="1"/>
    <xf numFmtId="169" fontId="0" fillId="0" borderId="1" xfId="0" applyNumberFormat="1" applyBorder="1"/>
    <xf numFmtId="0" fontId="84" fillId="7" borderId="1" xfId="0" applyFont="1" applyFill="1" applyBorder="1" applyAlignment="1">
      <alignment horizontal="center" vertical="center" wrapText="1"/>
    </xf>
    <xf numFmtId="0" fontId="85" fillId="7" borderId="1" xfId="0" applyFont="1" applyFill="1" applyBorder="1" applyAlignment="1">
      <alignment horizontal="center" vertical="center" wrapText="1"/>
    </xf>
    <xf numFmtId="0" fontId="86" fillId="7" borderId="1" xfId="0" applyFont="1" applyFill="1" applyBorder="1" applyAlignment="1">
      <alignment horizontal="center" vertical="center" wrapText="1"/>
    </xf>
    <xf numFmtId="0" fontId="87"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7" fillId="7" borderId="1" xfId="0" applyFont="1" applyFill="1" applyBorder="1" applyAlignment="1">
      <alignment vertical="center" wrapText="1"/>
    </xf>
    <xf numFmtId="0" fontId="87" fillId="7" borderId="12" xfId="0" applyFont="1" applyFill="1" applyBorder="1" applyAlignment="1">
      <alignment horizontal="center" vertical="center"/>
    </xf>
    <xf numFmtId="0" fontId="87" fillId="7" borderId="13" xfId="0" applyFont="1" applyFill="1" applyBorder="1" applyAlignment="1">
      <alignment horizontal="center" vertical="center"/>
    </xf>
    <xf numFmtId="0" fontId="87" fillId="8" borderId="1" xfId="0" applyFont="1" applyFill="1" applyBorder="1" applyAlignment="1">
      <alignment horizontal="center" vertical="center" wrapText="1"/>
    </xf>
    <xf numFmtId="0" fontId="85" fillId="7" borderId="1" xfId="0" applyFont="1" applyFill="1" applyBorder="1" applyAlignment="1">
      <alignment horizontal="center" vertical="center"/>
    </xf>
    <xf numFmtId="3" fontId="87" fillId="7" borderId="1" xfId="0" applyNumberFormat="1" applyFont="1" applyFill="1" applyBorder="1" applyAlignment="1">
      <alignment horizontal="right" vertical="center" wrapText="1"/>
    </xf>
    <xf numFmtId="0" fontId="90" fillId="7" borderId="1" xfId="0" applyFont="1" applyFill="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justify" vertical="center"/>
    </xf>
    <xf numFmtId="0" fontId="87" fillId="7" borderId="1" xfId="0" applyFont="1" applyFill="1" applyBorder="1" applyAlignment="1">
      <alignment vertical="center"/>
    </xf>
    <xf numFmtId="0" fontId="92" fillId="7" borderId="1" xfId="0" applyFont="1" applyFill="1" applyBorder="1" applyAlignment="1">
      <alignment horizontal="center" vertical="center" wrapText="1"/>
    </xf>
    <xf numFmtId="0" fontId="92" fillId="7" borderId="1" xfId="0" applyFont="1" applyFill="1" applyBorder="1" applyAlignment="1">
      <alignment vertical="center"/>
    </xf>
    <xf numFmtId="0" fontId="90" fillId="7" borderId="1" xfId="0" applyFont="1" applyFill="1" applyBorder="1" applyAlignment="1">
      <alignment horizontal="center" vertical="center"/>
    </xf>
    <xf numFmtId="164" fontId="78" fillId="0" borderId="7" xfId="3" applyFont="1" applyBorder="1"/>
    <xf numFmtId="164" fontId="79" fillId="4" borderId="34" xfId="0" applyNumberFormat="1" applyFont="1" applyFill="1" applyBorder="1"/>
    <xf numFmtId="164" fontId="79" fillId="4" borderId="35" xfId="0" applyNumberFormat="1" applyFont="1" applyFill="1" applyBorder="1"/>
    <xf numFmtId="0" fontId="9" fillId="0" borderId="1" xfId="0" applyFont="1" applyBorder="1" applyAlignment="1">
      <alignment horizontal="left" vertical="center"/>
    </xf>
    <xf numFmtId="3" fontId="9" fillId="0" borderId="1" xfId="0" applyNumberFormat="1" applyFont="1" applyBorder="1" applyAlignment="1">
      <alignment horizontal="center" vertical="center"/>
    </xf>
    <xf numFmtId="3" fontId="59" fillId="0" borderId="1" xfId="0" applyNumberFormat="1" applyFont="1" applyBorder="1" applyAlignment="1">
      <alignment horizontal="center" vertical="center"/>
    </xf>
    <xf numFmtId="0" fontId="67" fillId="4" borderId="0" xfId="0" applyFont="1" applyFill="1" applyAlignment="1">
      <alignment horizontal="left"/>
    </xf>
    <xf numFmtId="164" fontId="79" fillId="4" borderId="0" xfId="0" applyNumberFormat="1" applyFont="1" applyFill="1"/>
    <xf numFmtId="10" fontId="79" fillId="4" borderId="0" xfId="0" applyNumberFormat="1" applyFont="1" applyFill="1" applyAlignment="1">
      <alignment horizontal="center"/>
    </xf>
    <xf numFmtId="0" fontId="67" fillId="0" borderId="0" xfId="0" applyFont="1" applyAlignment="1">
      <alignment horizontal="left"/>
    </xf>
    <xf numFmtId="164" fontId="79" fillId="0" borderId="0" xfId="0" applyNumberFormat="1" applyFont="1"/>
    <xf numFmtId="10" fontId="79" fillId="0" borderId="0" xfId="0" applyNumberFormat="1" applyFont="1" applyAlignment="1">
      <alignment horizontal="center"/>
    </xf>
    <xf numFmtId="0" fontId="67" fillId="0" borderId="1" xfId="0" applyFont="1" applyBorder="1" applyAlignment="1">
      <alignment horizontal="left"/>
    </xf>
    <xf numFmtId="164" fontId="67" fillId="0" borderId="1" xfId="3" applyFont="1" applyFill="1" applyBorder="1" applyAlignment="1">
      <alignment horizontal="right"/>
    </xf>
    <xf numFmtId="164" fontId="67" fillId="0" borderId="1" xfId="0" applyNumberFormat="1" applyFont="1" applyBorder="1" applyAlignment="1">
      <alignment horizontal="left"/>
    </xf>
    <xf numFmtId="0" fontId="100" fillId="5" borderId="0" xfId="0" applyFont="1" applyFill="1" applyAlignment="1">
      <alignment horizontal="left"/>
    </xf>
    <xf numFmtId="164" fontId="100" fillId="5" borderId="0" xfId="0" applyNumberFormat="1" applyFont="1" applyFill="1" applyAlignment="1">
      <alignment horizontal="left"/>
    </xf>
    <xf numFmtId="10" fontId="67" fillId="0" borderId="1" xfId="0" applyNumberFormat="1" applyFont="1" applyBorder="1" applyAlignment="1">
      <alignment horizontal="right"/>
    </xf>
    <xf numFmtId="10" fontId="100" fillId="5" borderId="0" xfId="0" applyNumberFormat="1" applyFont="1" applyFill="1" applyAlignment="1">
      <alignment horizontal="right"/>
    </xf>
    <xf numFmtId="0" fontId="0" fillId="0" borderId="1" xfId="0" applyBorder="1" applyAlignment="1">
      <alignment horizontal="right"/>
    </xf>
    <xf numFmtId="165" fontId="24" fillId="0" borderId="0" xfId="2" applyNumberFormat="1" applyFont="1" applyBorder="1" applyAlignment="1">
      <alignment horizontal="right" vertical="center"/>
    </xf>
    <xf numFmtId="165" fontId="24" fillId="0" borderId="0" xfId="2" applyNumberFormat="1" applyFont="1" applyFill="1" applyBorder="1" applyAlignment="1">
      <alignment horizontal="right" vertical="center"/>
    </xf>
    <xf numFmtId="0" fontId="87" fillId="0" borderId="0" xfId="0" applyFont="1" applyAlignment="1">
      <alignment horizontal="center" vertical="center"/>
    </xf>
    <xf numFmtId="164" fontId="9" fillId="0" borderId="1" xfId="3" applyFont="1" applyFill="1" applyBorder="1" applyAlignment="1">
      <alignment horizontal="center" vertical="center"/>
    </xf>
    <xf numFmtId="0" fontId="87" fillId="7" borderId="23" xfId="0" applyFont="1" applyFill="1" applyBorder="1" applyAlignment="1">
      <alignment horizontal="center" vertical="center"/>
    </xf>
    <xf numFmtId="0" fontId="87" fillId="7" borderId="24" xfId="0" applyFont="1" applyFill="1" applyBorder="1" applyAlignment="1">
      <alignment horizontal="center" vertical="center"/>
    </xf>
    <xf numFmtId="0" fontId="87" fillId="7" borderId="22" xfId="0" applyFont="1" applyFill="1" applyBorder="1" applyAlignment="1">
      <alignment horizontal="center" vertical="center"/>
    </xf>
    <xf numFmtId="0" fontId="9" fillId="0" borderId="4" xfId="0" applyFont="1" applyBorder="1" applyAlignment="1">
      <alignment horizontal="left" vertical="center"/>
    </xf>
    <xf numFmtId="164" fontId="59" fillId="0" borderId="5" xfId="3" applyFont="1" applyFill="1" applyBorder="1" applyAlignment="1">
      <alignment horizontal="right" vertical="center"/>
    </xf>
    <xf numFmtId="0" fontId="87" fillId="0" borderId="8" xfId="0" applyFont="1" applyBorder="1" applyAlignment="1">
      <alignment horizontal="center" vertical="center"/>
    </xf>
    <xf numFmtId="164" fontId="59" fillId="0" borderId="9" xfId="0" applyNumberFormat="1" applyFont="1" applyBorder="1" applyAlignment="1">
      <alignment horizontal="center" vertical="center"/>
    </xf>
    <xf numFmtId="164" fontId="9" fillId="0" borderId="1" xfId="3" applyFont="1" applyFill="1" applyBorder="1" applyAlignment="1">
      <alignment horizontal="right" vertical="center"/>
    </xf>
    <xf numFmtId="165" fontId="7" fillId="0" borderId="19" xfId="0" applyNumberFormat="1" applyFont="1" applyBorder="1" applyAlignment="1">
      <alignment horizontal="right" vertical="center" wrapText="1"/>
    </xf>
    <xf numFmtId="3" fontId="11" fillId="0" borderId="7" xfId="0" applyNumberFormat="1" applyFont="1" applyBorder="1" applyAlignment="1">
      <alignment vertical="center" wrapText="1"/>
    </xf>
    <xf numFmtId="0" fontId="11" fillId="0" borderId="7" xfId="0" applyFont="1" applyBorder="1" applyAlignment="1">
      <alignment vertical="center"/>
    </xf>
    <xf numFmtId="0" fontId="0" fillId="0" borderId="0" xfId="0" applyAlignment="1">
      <alignment wrapText="1"/>
    </xf>
    <xf numFmtId="3" fontId="0" fillId="0" borderId="0" xfId="0" applyNumberFormat="1" applyAlignment="1">
      <alignment wrapText="1"/>
    </xf>
    <xf numFmtId="0" fontId="28" fillId="0" borderId="0" xfId="0" applyFont="1" applyAlignment="1">
      <alignment horizontal="justify" vertical="center"/>
    </xf>
    <xf numFmtId="0" fontId="31" fillId="0" borderId="0" xfId="0" applyFont="1" applyAlignment="1">
      <alignment horizontal="justify" vertical="center"/>
    </xf>
    <xf numFmtId="49" fontId="31" fillId="0" borderId="20" xfId="0" applyNumberFormat="1" applyFont="1" applyBorder="1" applyAlignment="1">
      <alignment vertical="center" wrapText="1"/>
    </xf>
    <xf numFmtId="0" fontId="28" fillId="0" borderId="20" xfId="0" applyFont="1" applyBorder="1" applyAlignment="1">
      <alignment vertical="center" wrapText="1"/>
    </xf>
    <xf numFmtId="0" fontId="28" fillId="0" borderId="0" xfId="0" applyFont="1" applyAlignment="1">
      <alignment vertical="center" wrapText="1"/>
    </xf>
    <xf numFmtId="165" fontId="28" fillId="0" borderId="0" xfId="2" applyNumberFormat="1" applyFont="1" applyBorder="1" applyAlignment="1">
      <alignment horizontal="right" vertical="center" wrapText="1"/>
    </xf>
    <xf numFmtId="165" fontId="28" fillId="0" borderId="18" xfId="2" applyNumberFormat="1" applyFont="1" applyFill="1" applyBorder="1" applyAlignment="1">
      <alignment horizontal="right" vertical="center" wrapText="1"/>
    </xf>
    <xf numFmtId="165" fontId="28" fillId="0" borderId="0" xfId="2" applyNumberFormat="1" applyFont="1" applyFill="1" applyBorder="1" applyAlignment="1">
      <alignment horizontal="right" vertical="center" wrapText="1"/>
    </xf>
    <xf numFmtId="0" fontId="87" fillId="7" borderId="13" xfId="0" applyFont="1" applyFill="1" applyBorder="1" applyAlignment="1">
      <alignment horizontal="center" vertical="center" wrapText="1"/>
    </xf>
    <xf numFmtId="0" fontId="87" fillId="7" borderId="13" xfId="0" applyFont="1" applyFill="1" applyBorder="1" applyAlignment="1">
      <alignment vertical="center" wrapText="1"/>
    </xf>
    <xf numFmtId="0" fontId="87" fillId="7" borderId="18" xfId="0" applyFont="1" applyFill="1" applyBorder="1" applyAlignment="1">
      <alignment horizontal="center" vertical="center" wrapText="1"/>
    </xf>
    <xf numFmtId="0" fontId="87" fillId="7" borderId="18" xfId="0" applyFont="1" applyFill="1" applyBorder="1" applyAlignment="1">
      <alignment vertical="center" wrapText="1"/>
    </xf>
    <xf numFmtId="3" fontId="46" fillId="0" borderId="1" xfId="0" applyNumberFormat="1" applyFont="1" applyBorder="1" applyAlignment="1">
      <alignment horizontal="right" vertical="center"/>
    </xf>
    <xf numFmtId="164" fontId="45" fillId="0" borderId="1" xfId="3" applyFont="1" applyFill="1" applyBorder="1" applyAlignment="1">
      <alignment vertical="top" wrapText="1"/>
    </xf>
    <xf numFmtId="0" fontId="27" fillId="0" borderId="1" xfId="0" applyFont="1" applyBorder="1" applyAlignment="1">
      <alignment vertical="center" wrapText="1"/>
    </xf>
    <xf numFmtId="164" fontId="59" fillId="0" borderId="0" xfId="0" applyNumberFormat="1" applyFont="1" applyAlignment="1">
      <alignment horizontal="center" vertical="center"/>
    </xf>
    <xf numFmtId="0" fontId="31" fillId="0" borderId="4" xfId="0" applyFont="1" applyBorder="1" applyAlignment="1">
      <alignment vertical="center"/>
    </xf>
    <xf numFmtId="164" fontId="9" fillId="0" borderId="5" xfId="3" applyFont="1" applyBorder="1" applyAlignment="1">
      <alignment horizontal="right" vertical="center"/>
    </xf>
    <xf numFmtId="0" fontId="101" fillId="0" borderId="0" xfId="0" applyFont="1"/>
    <xf numFmtId="164" fontId="7" fillId="0" borderId="19" xfId="0" applyNumberFormat="1" applyFont="1" applyBorder="1" applyAlignment="1">
      <alignment horizontal="right" vertical="center" wrapText="1"/>
    </xf>
    <xf numFmtId="49" fontId="9" fillId="0" borderId="4" xfId="0" applyNumberFormat="1" applyFont="1" applyBorder="1" applyAlignment="1">
      <alignment horizontal="left" vertical="center"/>
    </xf>
    <xf numFmtId="3" fontId="17" fillId="0" borderId="0" xfId="0" applyNumberFormat="1" applyFont="1" applyAlignment="1">
      <alignment vertical="center" wrapText="1"/>
    </xf>
    <xf numFmtId="0" fontId="26" fillId="0" borderId="1" xfId="0" applyFont="1" applyBorder="1" applyAlignment="1">
      <alignment horizontal="justify" vertical="center"/>
    </xf>
    <xf numFmtId="0" fontId="31" fillId="0" borderId="1" xfId="0" applyFont="1" applyBorder="1" applyAlignment="1">
      <alignment horizontal="left" vertical="center" wrapText="1"/>
    </xf>
    <xf numFmtId="3" fontId="28" fillId="0" borderId="1" xfId="2" applyNumberFormat="1" applyFont="1" applyBorder="1" applyAlignment="1">
      <alignment vertical="center" wrapText="1"/>
    </xf>
    <xf numFmtId="3" fontId="28" fillId="0" borderId="1" xfId="2" applyNumberFormat="1" applyFont="1" applyBorder="1" applyAlignment="1">
      <alignment horizontal="right" vertical="center" wrapText="1"/>
    </xf>
    <xf numFmtId="3" fontId="26" fillId="0" borderId="1" xfId="3" applyNumberFormat="1" applyFont="1" applyBorder="1" applyAlignment="1">
      <alignment horizontal="right" vertical="center" wrapText="1"/>
    </xf>
    <xf numFmtId="0" fontId="20" fillId="0" borderId="12" xfId="0" applyFont="1" applyBorder="1" applyAlignment="1">
      <alignment vertical="center" wrapText="1"/>
    </xf>
    <xf numFmtId="3" fontId="7" fillId="0" borderId="12" xfId="0" applyNumberFormat="1" applyFont="1" applyBorder="1" applyAlignment="1">
      <alignment horizontal="right" vertical="center" wrapText="1"/>
    </xf>
    <xf numFmtId="0" fontId="3" fillId="0" borderId="12" xfId="0" applyFont="1" applyBorder="1" applyAlignment="1">
      <alignment vertical="center" wrapText="1"/>
    </xf>
    <xf numFmtId="0" fontId="20" fillId="0" borderId="19" xfId="0" applyFont="1" applyBorder="1" applyAlignment="1">
      <alignment vertical="center" wrapText="1"/>
    </xf>
    <xf numFmtId="0" fontId="3" fillId="0" borderId="19" xfId="0" applyFont="1" applyBorder="1" applyAlignment="1">
      <alignment vertical="center" wrapText="1"/>
    </xf>
    <xf numFmtId="0" fontId="21" fillId="0" borderId="19" xfId="0" applyFont="1" applyBorder="1" applyAlignment="1">
      <alignment vertical="center" wrapText="1"/>
    </xf>
    <xf numFmtId="0" fontId="7" fillId="0" borderId="19" xfId="0" applyFont="1" applyBorder="1" applyAlignment="1">
      <alignment vertical="center" wrapText="1"/>
    </xf>
    <xf numFmtId="3" fontId="7" fillId="0" borderId="19" xfId="0" applyNumberFormat="1" applyFont="1" applyBorder="1" applyAlignment="1">
      <alignment vertical="center" wrapText="1"/>
    </xf>
    <xf numFmtId="0" fontId="22" fillId="0" borderId="19" xfId="0" applyFont="1" applyBorder="1" applyAlignment="1">
      <alignment vertical="top" wrapText="1"/>
    </xf>
    <xf numFmtId="3" fontId="37" fillId="0" borderId="19" xfId="0" applyNumberFormat="1" applyFont="1" applyBorder="1" applyAlignment="1">
      <alignment vertical="top" wrapText="1"/>
    </xf>
    <xf numFmtId="0" fontId="21" fillId="0" borderId="19" xfId="0" applyFont="1" applyBorder="1" applyAlignment="1">
      <alignment vertical="center"/>
    </xf>
    <xf numFmtId="3" fontId="51" fillId="0" borderId="1" xfId="3" applyNumberFormat="1" applyFont="1" applyFill="1" applyBorder="1" applyAlignment="1">
      <alignment horizontal="right" vertical="center"/>
    </xf>
    <xf numFmtId="0" fontId="103" fillId="0" borderId="0" xfId="0" applyFont="1" applyAlignment="1">
      <alignment vertical="center"/>
    </xf>
    <xf numFmtId="0" fontId="30" fillId="0" borderId="0" xfId="0" applyFont="1" applyAlignment="1">
      <alignment vertical="center"/>
    </xf>
    <xf numFmtId="165" fontId="30" fillId="0" borderId="0" xfId="2" applyNumberFormat="1" applyFont="1" applyBorder="1" applyAlignment="1">
      <alignment horizontal="right" vertical="center"/>
    </xf>
    <xf numFmtId="3" fontId="32" fillId="0" borderId="1" xfId="0" applyNumberFormat="1" applyFont="1" applyBorder="1" applyAlignment="1">
      <alignment horizontal="right" vertical="center"/>
    </xf>
    <xf numFmtId="3" fontId="3" fillId="9" borderId="19" xfId="0" applyNumberFormat="1" applyFont="1" applyFill="1" applyBorder="1" applyAlignment="1">
      <alignment horizontal="right" vertical="center" wrapText="1"/>
    </xf>
    <xf numFmtId="0" fontId="20" fillId="9" borderId="19" xfId="0" applyFont="1" applyFill="1" applyBorder="1" applyAlignment="1">
      <alignment vertical="center" wrapText="1"/>
    </xf>
    <xf numFmtId="0" fontId="21" fillId="9" borderId="19" xfId="0" applyFont="1" applyFill="1" applyBorder="1" applyAlignment="1">
      <alignment vertical="center" wrapText="1"/>
    </xf>
    <xf numFmtId="0" fontId="102" fillId="9" borderId="19" xfId="0" applyFont="1" applyFill="1" applyBorder="1" applyAlignment="1">
      <alignment vertical="center" wrapText="1"/>
    </xf>
    <xf numFmtId="3" fontId="3" fillId="9" borderId="20" xfId="0" applyNumberFormat="1" applyFont="1" applyFill="1" applyBorder="1" applyAlignment="1">
      <alignment horizontal="right" vertical="center" wrapText="1"/>
    </xf>
    <xf numFmtId="3" fontId="28" fillId="9" borderId="1" xfId="0" applyNumberFormat="1" applyFont="1" applyFill="1" applyBorder="1" applyAlignment="1">
      <alignment vertical="center" wrapText="1"/>
    </xf>
    <xf numFmtId="0" fontId="31" fillId="9" borderId="1" xfId="0" applyFont="1" applyFill="1" applyBorder="1" applyAlignment="1">
      <alignment vertical="center" wrapText="1"/>
    </xf>
    <xf numFmtId="3" fontId="31"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8" fillId="9" borderId="1" xfId="0" applyFont="1" applyFill="1" applyBorder="1" applyAlignment="1">
      <alignment vertical="center" wrapText="1"/>
    </xf>
    <xf numFmtId="3" fontId="28" fillId="9" borderId="1" xfId="0" applyNumberFormat="1" applyFont="1" applyFill="1" applyBorder="1" applyAlignment="1">
      <alignment horizontal="right" vertical="center" wrapText="1"/>
    </xf>
    <xf numFmtId="3" fontId="32" fillId="9" borderId="1" xfId="0" applyNumberFormat="1" applyFont="1" applyFill="1" applyBorder="1" applyAlignment="1">
      <alignment horizontal="right" vertical="center"/>
    </xf>
    <xf numFmtId="0" fontId="40" fillId="9" borderId="0" xfId="0" applyFont="1" applyFill="1"/>
    <xf numFmtId="0" fontId="41" fillId="9" borderId="0" xfId="0" applyFont="1" applyFill="1"/>
    <xf numFmtId="0" fontId="36" fillId="9" borderId="0" xfId="0" applyFont="1" applyFill="1"/>
    <xf numFmtId="0" fontId="0" fillId="9" borderId="0" xfId="0" applyFill="1"/>
    <xf numFmtId="0" fontId="39" fillId="0" borderId="0" xfId="0" applyFont="1"/>
    <xf numFmtId="164" fontId="59" fillId="0" borderId="10" xfId="0" applyNumberFormat="1"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center" vertical="center" wrapText="1"/>
    </xf>
    <xf numFmtId="3" fontId="48" fillId="0" borderId="1" xfId="0" applyNumberFormat="1" applyFont="1" applyBorder="1" applyAlignment="1">
      <alignment horizontal="right" vertical="center"/>
    </xf>
    <xf numFmtId="3" fontId="47" fillId="0" borderId="1" xfId="3" applyNumberFormat="1" applyFont="1" applyBorder="1" applyAlignment="1">
      <alignment horizontal="right" vertical="center"/>
    </xf>
    <xf numFmtId="3" fontId="46" fillId="2" borderId="1" xfId="0" applyNumberFormat="1" applyFont="1" applyFill="1" applyBorder="1" applyAlignment="1">
      <alignment horizontal="right" vertical="center"/>
    </xf>
    <xf numFmtId="0" fontId="104" fillId="0" borderId="0" xfId="0" applyFont="1" applyAlignment="1">
      <alignment horizontal="justify" vertical="center"/>
    </xf>
    <xf numFmtId="0" fontId="9" fillId="0" borderId="6" xfId="0" applyFont="1" applyBorder="1" applyAlignment="1">
      <alignment horizontal="left" vertical="center"/>
    </xf>
    <xf numFmtId="164" fontId="9" fillId="0" borderId="7" xfId="3" applyFont="1" applyFill="1" applyBorder="1" applyAlignment="1">
      <alignment horizontal="center" vertical="center"/>
    </xf>
    <xf numFmtId="164" fontId="9" fillId="0" borderId="25" xfId="3" applyFont="1" applyFill="1" applyBorder="1" applyAlignment="1">
      <alignment horizontal="center" vertical="center"/>
    </xf>
    <xf numFmtId="164" fontId="78" fillId="0" borderId="2" xfId="3" applyFont="1" applyBorder="1"/>
    <xf numFmtId="164" fontId="0" fillId="0" borderId="0" xfId="0" applyNumberFormat="1"/>
    <xf numFmtId="0" fontId="78" fillId="0" borderId="1" xfId="0" applyFont="1" applyBorder="1" applyAlignment="1">
      <alignment horizontal="left"/>
    </xf>
    <xf numFmtId="3" fontId="8" fillId="0" borderId="0" xfId="0" applyNumberFormat="1" applyFont="1"/>
    <xf numFmtId="0" fontId="8" fillId="0" borderId="0" xfId="0" applyFont="1"/>
    <xf numFmtId="0" fontId="105" fillId="0" borderId="0" xfId="0" applyFont="1"/>
    <xf numFmtId="0" fontId="16" fillId="0" borderId="0" xfId="0" applyFont="1" applyAlignment="1">
      <alignment horizontal="left" vertical="center" indent="5"/>
    </xf>
    <xf numFmtId="0" fontId="0" fillId="0" borderId="0" xfId="0" applyAlignment="1">
      <alignment horizontal="left"/>
    </xf>
    <xf numFmtId="0" fontId="65" fillId="5" borderId="0" xfId="0" applyFont="1" applyFill="1" applyAlignment="1">
      <alignment vertical="center"/>
    </xf>
    <xf numFmtId="0" fontId="65" fillId="0" borderId="0" xfId="0" applyFont="1" applyAlignment="1">
      <alignment vertical="center"/>
    </xf>
    <xf numFmtId="0" fontId="66" fillId="0" borderId="0" xfId="0" applyFont="1" applyAlignment="1">
      <alignment vertical="center"/>
    </xf>
    <xf numFmtId="0" fontId="65" fillId="0" borderId="0" xfId="0" applyFont="1" applyAlignment="1">
      <alignment horizontal="left" vertical="center"/>
    </xf>
    <xf numFmtId="0" fontId="66" fillId="0" borderId="0" xfId="0" applyFont="1" applyAlignment="1">
      <alignment horizontal="left"/>
    </xf>
    <xf numFmtId="0" fontId="66" fillId="0" borderId="0" xfId="0" applyFont="1"/>
    <xf numFmtId="0" fontId="66" fillId="0" borderId="0" xfId="0" applyFont="1" applyAlignment="1">
      <alignment horizontal="left" wrapText="1"/>
    </xf>
    <xf numFmtId="0" fontId="22" fillId="0" borderId="0" xfId="0" applyFont="1"/>
    <xf numFmtId="0" fontId="65" fillId="0" borderId="0" xfId="0" applyFont="1" applyAlignment="1">
      <alignment horizontal="left"/>
    </xf>
    <xf numFmtId="0" fontId="64" fillId="0" borderId="0" xfId="0" applyFont="1" applyAlignment="1">
      <alignment horizontal="left" wrapText="1"/>
    </xf>
    <xf numFmtId="168" fontId="66" fillId="0" borderId="1" xfId="0" applyNumberFormat="1" applyFont="1" applyBorder="1" applyAlignment="1">
      <alignment horizontal="right" vertical="center"/>
    </xf>
    <xf numFmtId="0" fontId="78" fillId="0" borderId="1" xfId="0" applyFont="1" applyBorder="1" applyAlignment="1">
      <alignment horizontal="center"/>
    </xf>
    <xf numFmtId="10" fontId="78" fillId="0" borderId="1" xfId="7" applyNumberFormat="1" applyFont="1" applyBorder="1" applyAlignment="1">
      <alignment horizontal="center"/>
    </xf>
    <xf numFmtId="0" fontId="75" fillId="0" borderId="0" xfId="0" applyFont="1"/>
    <xf numFmtId="0" fontId="0" fillId="0" borderId="0" xfId="0" applyAlignment="1">
      <alignment horizontal="center"/>
    </xf>
    <xf numFmtId="0" fontId="16" fillId="0" borderId="0" xfId="0" applyFont="1" applyAlignment="1">
      <alignment vertical="center"/>
    </xf>
    <xf numFmtId="168" fontId="66" fillId="0" borderId="0" xfId="0" applyNumberFormat="1" applyFont="1" applyAlignment="1">
      <alignment horizontal="right" vertical="center"/>
    </xf>
    <xf numFmtId="0" fontId="95" fillId="7" borderId="0" xfId="0" applyFont="1" applyFill="1" applyAlignment="1">
      <alignment horizontal="center" vertical="center"/>
    </xf>
    <xf numFmtId="0" fontId="95" fillId="7" borderId="0" xfId="0" applyFont="1" applyFill="1" applyAlignment="1">
      <alignment horizontal="center" vertical="center" wrapText="1"/>
    </xf>
    <xf numFmtId="0" fontId="0" fillId="5" borderId="0" xfId="0" applyFill="1" applyAlignment="1">
      <alignment horizontal="center"/>
    </xf>
    <xf numFmtId="1" fontId="59" fillId="0" borderId="0" xfId="0" applyNumberFormat="1" applyFont="1" applyAlignment="1">
      <alignment horizontal="center" vertical="center"/>
    </xf>
    <xf numFmtId="1" fontId="65" fillId="5" borderId="0" xfId="0" applyNumberFormat="1" applyFont="1" applyFill="1" applyAlignment="1">
      <alignment vertical="center"/>
    </xf>
    <xf numFmtId="1" fontId="65" fillId="0" borderId="0" xfId="0" applyNumberFormat="1" applyFont="1" applyAlignment="1">
      <alignment vertical="center"/>
    </xf>
    <xf numFmtId="1" fontId="65" fillId="0" borderId="0" xfId="0" applyNumberFormat="1" applyFont="1" applyAlignment="1">
      <alignment horizontal="left" vertical="center"/>
    </xf>
    <xf numFmtId="1" fontId="0" fillId="0" borderId="0" xfId="0" applyNumberFormat="1"/>
    <xf numFmtId="1" fontId="65" fillId="0" borderId="0" xfId="0" applyNumberFormat="1" applyFont="1" applyAlignment="1">
      <alignment horizontal="left"/>
    </xf>
    <xf numFmtId="1" fontId="66" fillId="0" borderId="0" xfId="0" applyNumberFormat="1" applyFont="1"/>
    <xf numFmtId="1" fontId="66" fillId="0" borderId="0" xfId="0" applyNumberFormat="1" applyFont="1" applyAlignment="1">
      <alignment horizontal="left" wrapText="1"/>
    </xf>
    <xf numFmtId="1" fontId="22" fillId="0" borderId="0" xfId="0" applyNumberFormat="1" applyFont="1"/>
    <xf numFmtId="1" fontId="95" fillId="7" borderId="0" xfId="0" applyNumberFormat="1" applyFont="1" applyFill="1" applyAlignment="1">
      <alignment horizontal="center" vertical="center"/>
    </xf>
    <xf numFmtId="1" fontId="78" fillId="0" borderId="1" xfId="0" applyNumberFormat="1" applyFont="1" applyBorder="1" applyAlignment="1">
      <alignment horizontal="center"/>
    </xf>
    <xf numFmtId="1" fontId="78" fillId="0" borderId="1" xfId="0" applyNumberFormat="1" applyFont="1" applyBorder="1"/>
    <xf numFmtId="0" fontId="96" fillId="0" borderId="1" xfId="0" applyFont="1" applyBorder="1" applyAlignment="1">
      <alignment horizontal="center"/>
    </xf>
    <xf numFmtId="0" fontId="97" fillId="0" borderId="1" xfId="0" applyFont="1" applyBorder="1" applyAlignment="1">
      <alignment horizontal="center" vertical="center"/>
    </xf>
    <xf numFmtId="0" fontId="96" fillId="0" borderId="7" xfId="0" applyFont="1" applyBorder="1" applyAlignment="1">
      <alignment horizontal="center"/>
    </xf>
    <xf numFmtId="1" fontId="78" fillId="0" borderId="7" xfId="0" applyNumberFormat="1" applyFont="1" applyBorder="1"/>
    <xf numFmtId="10" fontId="78" fillId="0" borderId="7" xfId="7" applyNumberFormat="1" applyFont="1" applyBorder="1" applyAlignment="1">
      <alignment horizontal="center"/>
    </xf>
    <xf numFmtId="10" fontId="79" fillId="4" borderId="36" xfId="0" applyNumberFormat="1" applyFont="1" applyFill="1" applyBorder="1" applyAlignment="1">
      <alignment horizontal="center"/>
    </xf>
    <xf numFmtId="0" fontId="67" fillId="4" borderId="16" xfId="0" applyFont="1" applyFill="1" applyBorder="1" applyAlignment="1">
      <alignment horizontal="left"/>
    </xf>
    <xf numFmtId="0" fontId="99" fillId="7" borderId="1" xfId="0" applyFont="1" applyFill="1" applyBorder="1" applyAlignment="1">
      <alignment horizontal="center"/>
    </xf>
    <xf numFmtId="0" fontId="66" fillId="0" borderId="0" xfId="0" applyFont="1" applyAlignment="1">
      <alignment horizontal="left" vertical="center"/>
    </xf>
    <xf numFmtId="0" fontId="82" fillId="6" borderId="25" xfId="0" applyFont="1" applyFill="1" applyBorder="1" applyAlignment="1">
      <alignment horizontal="center" vertical="center" wrapText="1"/>
    </xf>
    <xf numFmtId="0" fontId="63" fillId="6" borderId="29" xfId="0" applyFont="1" applyFill="1" applyBorder="1" applyAlignment="1">
      <alignment horizontal="center" vertical="center"/>
    </xf>
    <xf numFmtId="0" fontId="63" fillId="6" borderId="30" xfId="0" applyFont="1" applyFill="1" applyBorder="1" applyAlignment="1">
      <alignment horizontal="center" vertical="center"/>
    </xf>
    <xf numFmtId="0" fontId="63" fillId="6" borderId="17" xfId="0" applyFont="1" applyFill="1" applyBorder="1" applyAlignment="1">
      <alignment horizontal="center" vertical="center"/>
    </xf>
    <xf numFmtId="0" fontId="63" fillId="6" borderId="0" xfId="0" applyFont="1" applyFill="1" applyAlignment="1">
      <alignment horizontal="center" vertical="center"/>
    </xf>
    <xf numFmtId="0" fontId="63" fillId="6" borderId="31" xfId="0" applyFont="1" applyFill="1" applyBorder="1" applyAlignment="1">
      <alignment horizontal="center" vertical="center"/>
    </xf>
    <xf numFmtId="0" fontId="63" fillId="6" borderId="32" xfId="0" applyFont="1" applyFill="1" applyBorder="1" applyAlignment="1">
      <alignment horizontal="center" vertical="center"/>
    </xf>
    <xf numFmtId="0" fontId="63" fillId="6" borderId="21" xfId="0" applyFont="1" applyFill="1" applyBorder="1" applyAlignment="1">
      <alignment horizontal="center" vertical="center"/>
    </xf>
    <xf numFmtId="0" fontId="63" fillId="6" borderId="33" xfId="0" applyFont="1" applyFill="1" applyBorder="1" applyAlignment="1">
      <alignment horizontal="center" vertical="center"/>
    </xf>
    <xf numFmtId="0" fontId="78" fillId="0" borderId="7" xfId="0" applyFont="1" applyBorder="1" applyAlignment="1">
      <alignment horizontal="left"/>
    </xf>
    <xf numFmtId="0" fontId="78" fillId="0" borderId="2" xfId="0" applyFont="1" applyBorder="1" applyAlignment="1">
      <alignment horizontal="left"/>
    </xf>
    <xf numFmtId="0" fontId="78" fillId="0" borderId="28" xfId="0" applyFont="1" applyBorder="1" applyAlignment="1">
      <alignment horizontal="left"/>
    </xf>
    <xf numFmtId="0" fontId="78" fillId="0" borderId="7" xfId="0" applyFont="1" applyBorder="1" applyAlignment="1">
      <alignment horizontal="center"/>
    </xf>
    <xf numFmtId="0" fontId="78" fillId="0" borderId="2" xfId="0" applyFont="1" applyBorder="1" applyAlignment="1">
      <alignment horizontal="center"/>
    </xf>
    <xf numFmtId="0" fontId="78" fillId="0" borderId="28" xfId="0" applyFont="1" applyBorder="1" applyAlignment="1">
      <alignment horizontal="center"/>
    </xf>
    <xf numFmtId="0" fontId="27" fillId="0" borderId="7" xfId="0" applyFont="1" applyBorder="1" applyAlignment="1">
      <alignment horizontal="center" vertical="center"/>
    </xf>
    <xf numFmtId="0" fontId="27" fillId="0" borderId="2" xfId="0" applyFont="1" applyBorder="1" applyAlignment="1">
      <alignment horizontal="center" vertical="center"/>
    </xf>
    <xf numFmtId="0" fontId="27" fillId="0" borderId="28" xfId="0" applyFont="1" applyBorder="1" applyAlignment="1">
      <alignment horizontal="center" vertical="center"/>
    </xf>
    <xf numFmtId="0" fontId="66" fillId="0" borderId="0" xfId="0" applyFont="1" applyAlignment="1">
      <alignment horizontal="left"/>
    </xf>
    <xf numFmtId="0" fontId="75" fillId="0" borderId="0" xfId="0" applyFont="1" applyAlignment="1">
      <alignment horizontal="left"/>
    </xf>
    <xf numFmtId="0" fontId="65" fillId="0" borderId="0" xfId="0" applyFont="1" applyAlignment="1">
      <alignment horizontal="left"/>
    </xf>
    <xf numFmtId="0" fontId="67" fillId="4" borderId="14" xfId="0" applyFont="1" applyFill="1" applyBorder="1" applyAlignment="1">
      <alignment horizontal="left"/>
    </xf>
    <xf numFmtId="0" fontId="67" fillId="4" borderId="16" xfId="0" applyFont="1" applyFill="1" applyBorder="1" applyAlignment="1">
      <alignment horizontal="left"/>
    </xf>
    <xf numFmtId="0" fontId="67" fillId="4" borderId="37" xfId="0" applyFont="1" applyFill="1" applyBorder="1" applyAlignment="1">
      <alignment horizontal="left"/>
    </xf>
    <xf numFmtId="0" fontId="21" fillId="9" borderId="0" xfId="0" applyFont="1" applyFill="1" applyAlignment="1">
      <alignment horizontal="left" vertical="top" wrapText="1"/>
    </xf>
    <xf numFmtId="0" fontId="79" fillId="0" borderId="0" xfId="0" applyFont="1" applyAlignment="1">
      <alignment horizontal="left" vertical="center"/>
    </xf>
    <xf numFmtId="0" fontId="94" fillId="7" borderId="17" xfId="0" applyFont="1" applyFill="1" applyBorder="1" applyAlignment="1">
      <alignment horizontal="center"/>
    </xf>
    <xf numFmtId="0" fontId="94" fillId="7" borderId="0" xfId="0" applyFont="1" applyFill="1" applyAlignment="1">
      <alignment horizontal="center"/>
    </xf>
    <xf numFmtId="0" fontId="65" fillId="0" borderId="0" xfId="0" applyFont="1" applyAlignment="1">
      <alignment horizontal="center"/>
    </xf>
    <xf numFmtId="0" fontId="20" fillId="9" borderId="0" xfId="0" applyFont="1" applyFill="1" applyAlignment="1">
      <alignment horizontal="left" vertical="top" wrapText="1"/>
    </xf>
    <xf numFmtId="0" fontId="66" fillId="0" borderId="0" xfId="0" applyFont="1" applyAlignment="1">
      <alignment horizontal="left" wrapText="1"/>
    </xf>
    <xf numFmtId="0" fontId="57" fillId="0" borderId="0" xfId="0" applyFont="1" applyAlignment="1">
      <alignment horizontal="left" vertical="center" wrapText="1"/>
    </xf>
    <xf numFmtId="0" fontId="0" fillId="0" borderId="0" xfId="0" applyAlignment="1">
      <alignment horizontal="left"/>
    </xf>
    <xf numFmtId="0" fontId="66" fillId="0" borderId="14" xfId="0" applyFont="1" applyBorder="1" applyAlignment="1">
      <alignment horizontal="left"/>
    </xf>
    <xf numFmtId="0" fontId="66" fillId="0" borderId="15" xfId="0" applyFont="1" applyBorder="1" applyAlignment="1">
      <alignment horizontal="left"/>
    </xf>
    <xf numFmtId="0" fontId="0" fillId="0" borderId="15" xfId="0" applyBorder="1" applyAlignment="1">
      <alignment horizontal="left"/>
    </xf>
    <xf numFmtId="0" fontId="66" fillId="0" borderId="0" xfId="0" applyFont="1" applyAlignment="1">
      <alignment horizontal="left" vertical="center" wrapText="1"/>
    </xf>
    <xf numFmtId="0" fontId="58" fillId="0" borderId="0" xfId="0" applyFont="1" applyAlignment="1">
      <alignment horizontal="center" vertical="center" wrapText="1"/>
    </xf>
    <xf numFmtId="0" fontId="93" fillId="7" borderId="26" xfId="0" applyFont="1" applyFill="1" applyBorder="1" applyAlignment="1">
      <alignment horizontal="center" vertical="center" wrapText="1"/>
    </xf>
    <xf numFmtId="0" fontId="93" fillId="7" borderId="27" xfId="0" applyFont="1" applyFill="1" applyBorder="1" applyAlignment="1">
      <alignment horizontal="center" vertical="center" wrapText="1"/>
    </xf>
    <xf numFmtId="3" fontId="93" fillId="7" borderId="26" xfId="0" applyNumberFormat="1" applyFont="1" applyFill="1" applyBorder="1" applyAlignment="1">
      <alignment horizontal="center" vertical="center" wrapText="1"/>
    </xf>
    <xf numFmtId="3" fontId="93" fillId="7" borderId="27" xfId="0" applyNumberFormat="1" applyFont="1" applyFill="1" applyBorder="1" applyAlignment="1">
      <alignment horizontal="center" vertical="center" wrapText="1"/>
    </xf>
    <xf numFmtId="0" fontId="98" fillId="7" borderId="24" xfId="0" applyFont="1" applyFill="1" applyBorder="1" applyAlignment="1">
      <alignment vertical="center" wrapText="1"/>
    </xf>
    <xf numFmtId="0" fontId="98" fillId="7" borderId="1" xfId="0" applyFont="1" applyFill="1" applyBorder="1" applyAlignment="1">
      <alignment vertical="center" wrapText="1"/>
    </xf>
    <xf numFmtId="0" fontId="92" fillId="7" borderId="24"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92" fillId="7" borderId="22" xfId="0" applyFont="1" applyFill="1" applyBorder="1" applyAlignment="1">
      <alignment horizontal="center" vertical="center" wrapText="1"/>
    </xf>
    <xf numFmtId="0" fontId="92" fillId="7" borderId="5" xfId="0" applyFont="1" applyFill="1" applyBorder="1" applyAlignment="1">
      <alignment horizontal="center" vertical="center" wrapText="1"/>
    </xf>
    <xf numFmtId="0" fontId="20" fillId="0" borderId="12" xfId="0" applyFont="1" applyBorder="1" applyAlignment="1">
      <alignment vertical="center" wrapText="1"/>
    </xf>
    <xf numFmtId="0" fontId="20" fillId="0" borderId="20" xfId="0" applyFont="1" applyBorder="1" applyAlignment="1">
      <alignment vertical="center" wrapText="1"/>
    </xf>
    <xf numFmtId="3" fontId="3" fillId="0" borderId="12" xfId="0" applyNumberFormat="1" applyFont="1" applyBorder="1" applyAlignment="1">
      <alignment horizontal="right" vertical="center" wrapText="1"/>
    </xf>
    <xf numFmtId="3" fontId="3" fillId="0" borderId="20" xfId="0" applyNumberFormat="1" applyFont="1" applyBorder="1" applyAlignment="1">
      <alignment horizontal="right"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3" fontId="3" fillId="9" borderId="12" xfId="0" applyNumberFormat="1" applyFont="1" applyFill="1" applyBorder="1" applyAlignment="1">
      <alignment horizontal="right" vertical="center" wrapText="1"/>
    </xf>
    <xf numFmtId="3" fontId="3" fillId="9" borderId="20" xfId="0" applyNumberFormat="1" applyFont="1" applyFill="1" applyBorder="1" applyAlignment="1">
      <alignment horizontal="right" vertical="center" wrapText="1"/>
    </xf>
    <xf numFmtId="0" fontId="98" fillId="7" borderId="23" xfId="0" applyFont="1" applyFill="1" applyBorder="1" applyAlignment="1">
      <alignment vertical="center" wrapText="1"/>
    </xf>
    <xf numFmtId="0" fontId="98" fillId="7" borderId="4" xfId="0" applyFont="1" applyFill="1" applyBorder="1" applyAlignment="1">
      <alignment vertical="center" wrapText="1"/>
    </xf>
    <xf numFmtId="3" fontId="92" fillId="7" borderId="24" xfId="0" applyNumberFormat="1" applyFont="1" applyFill="1" applyBorder="1" applyAlignment="1">
      <alignment horizontal="center" vertical="center" wrapText="1"/>
    </xf>
    <xf numFmtId="3" fontId="92" fillId="7" borderId="1" xfId="0" applyNumberFormat="1" applyFont="1" applyFill="1" applyBorder="1" applyAlignment="1">
      <alignment horizontal="center" vertical="center" wrapText="1"/>
    </xf>
    <xf numFmtId="0" fontId="68" fillId="5" borderId="0" xfId="0" applyFont="1" applyFill="1" applyAlignment="1">
      <alignment horizontal="left" vertical="center"/>
    </xf>
    <xf numFmtId="0" fontId="24" fillId="0" borderId="0" xfId="0" applyFont="1" applyAlignment="1">
      <alignment horizontal="center" vertical="center" wrapText="1"/>
    </xf>
    <xf numFmtId="0" fontId="19" fillId="0" borderId="0" xfId="0" applyFont="1" applyAlignment="1">
      <alignment horizontal="center" vertical="center"/>
    </xf>
    <xf numFmtId="0" fontId="87" fillId="7" borderId="1" xfId="0" applyFont="1" applyFill="1" applyBorder="1" applyAlignment="1">
      <alignment horizontal="center" vertical="center" wrapText="1"/>
    </xf>
    <xf numFmtId="0" fontId="30"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24" fillId="0" borderId="0" xfId="0" applyFont="1" applyAlignment="1">
      <alignment horizontal="center" vertical="center"/>
    </xf>
    <xf numFmtId="0" fontId="32" fillId="0" borderId="1" xfId="0" applyFont="1" applyBorder="1" applyAlignment="1">
      <alignment vertical="center" wrapText="1"/>
    </xf>
    <xf numFmtId="3" fontId="32" fillId="0" borderId="1" xfId="0" applyNumberFormat="1" applyFont="1" applyBorder="1" applyAlignment="1">
      <alignment horizontal="right" vertical="center"/>
    </xf>
    <xf numFmtId="0" fontId="70" fillId="0" borderId="0" xfId="0" applyFont="1" applyAlignment="1">
      <alignment horizontal="left" vertical="center" wrapText="1"/>
    </xf>
    <xf numFmtId="0" fontId="89" fillId="7" borderId="1" xfId="0" applyFont="1" applyFill="1" applyBorder="1" applyAlignment="1">
      <alignment horizontal="justify" vertical="center" wrapText="1"/>
    </xf>
    <xf numFmtId="0" fontId="90" fillId="7" borderId="1" xfId="0" applyFont="1" applyFill="1" applyBorder="1" applyAlignment="1">
      <alignment horizontal="center" vertical="center" wrapText="1"/>
    </xf>
    <xf numFmtId="0" fontId="90" fillId="7" borderId="7"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28" xfId="0" applyFont="1" applyFill="1" applyBorder="1" applyAlignment="1">
      <alignment horizontal="center" vertical="center" wrapText="1"/>
    </xf>
    <xf numFmtId="0" fontId="68" fillId="0" borderId="0" xfId="0" applyFont="1" applyAlignment="1">
      <alignment horizontal="left" vertical="center"/>
    </xf>
    <xf numFmtId="0" fontId="71" fillId="0" borderId="0" xfId="0" applyFont="1" applyAlignment="1">
      <alignment horizontal="left" vertical="center"/>
    </xf>
    <xf numFmtId="0" fontId="85"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8" fillId="7"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87" fillId="7" borderId="1" xfId="0" applyFont="1" applyFill="1" applyBorder="1" applyAlignment="1">
      <alignment vertical="center" wrapText="1"/>
    </xf>
    <xf numFmtId="0" fontId="28" fillId="0" borderId="1" xfId="0" applyFont="1" applyBorder="1" applyAlignment="1">
      <alignment vertical="center" wrapText="1"/>
    </xf>
    <xf numFmtId="0" fontId="70" fillId="0" borderId="0" xfId="0" applyFont="1" applyAlignment="1">
      <alignment horizontal="left" vertical="center"/>
    </xf>
    <xf numFmtId="0" fontId="68" fillId="0" borderId="0" xfId="0" applyFont="1" applyAlignment="1">
      <alignment horizontal="left" vertical="center" wrapText="1"/>
    </xf>
    <xf numFmtId="0" fontId="85" fillId="7" borderId="1" xfId="0" applyFont="1" applyFill="1" applyBorder="1" applyAlignment="1">
      <alignment horizontal="center" vertical="center"/>
    </xf>
    <xf numFmtId="0" fontId="87" fillId="8" borderId="7" xfId="0" applyFont="1" applyFill="1" applyBorder="1" applyAlignment="1">
      <alignment horizontal="center" vertical="center" wrapText="1"/>
    </xf>
    <xf numFmtId="0" fontId="87" fillId="8" borderId="28" xfId="0" applyFont="1" applyFill="1" applyBorder="1" applyAlignment="1">
      <alignment horizontal="center" vertical="center" wrapText="1"/>
    </xf>
    <xf numFmtId="0" fontId="89" fillId="7" borderId="38" xfId="0" applyFont="1" applyFill="1" applyBorder="1" applyAlignment="1">
      <alignment horizontal="center" vertical="center"/>
    </xf>
    <xf numFmtId="0" fontId="68" fillId="0" borderId="0" xfId="0" applyFont="1" applyAlignment="1">
      <alignment horizontal="left" wrapText="1"/>
    </xf>
    <xf numFmtId="0" fontId="87" fillId="7" borderId="12" xfId="0" applyFont="1" applyFill="1" applyBorder="1" applyAlignment="1">
      <alignment horizontal="center" vertical="center" wrapText="1"/>
    </xf>
    <xf numFmtId="0" fontId="87" fillId="7" borderId="20" xfId="0" applyFont="1" applyFill="1" applyBorder="1" applyAlignment="1">
      <alignment horizontal="center" vertical="center" wrapText="1"/>
    </xf>
    <xf numFmtId="0" fontId="73" fillId="0" borderId="0" xfId="0" applyFont="1" applyAlignment="1">
      <alignment horizontal="justify"/>
    </xf>
    <xf numFmtId="0" fontId="83" fillId="7" borderId="17" xfId="0" applyFont="1" applyFill="1" applyBorder="1" applyAlignment="1">
      <alignment horizontal="center" wrapText="1"/>
    </xf>
    <xf numFmtId="0" fontId="83" fillId="7" borderId="0" xfId="0" applyFont="1" applyFill="1" applyAlignment="1">
      <alignment horizontal="center" wrapText="1"/>
    </xf>
  </cellXfs>
  <cellStyles count="15">
    <cellStyle name="Comma [0] 2" xfId="11" xr:uid="{00000000-0005-0000-0000-000002000000}"/>
    <cellStyle name="Excel Built-in Normal" xfId="1" xr:uid="{00000000-0005-0000-0000-000003000000}"/>
    <cellStyle name="Millares" xfId="2" builtinId="3"/>
    <cellStyle name="Millares [0]" xfId="3" builtinId="6"/>
    <cellStyle name="Millares [0] 2" xfId="8" xr:uid="{00000000-0005-0000-0000-000004000000}"/>
    <cellStyle name="Millares [0] 2 2" xfId="10" xr:uid="{00000000-0005-0000-0000-000005000000}"/>
    <cellStyle name="Millares [0] 2 2 2" xfId="14" xr:uid="{00000000-0005-0000-0000-000006000000}"/>
    <cellStyle name="Millares [0] 2 3" xfId="12" xr:uid="{00000000-0005-0000-0000-000007000000}"/>
    <cellStyle name="Millares [0] 3" xfId="9" xr:uid="{00000000-0005-0000-0000-000008000000}"/>
    <cellStyle name="Millares [0] 3 2" xfId="13" xr:uid="{00000000-0005-0000-0000-000009000000}"/>
    <cellStyle name="Millares 2" xfId="4" xr:uid="{00000000-0005-0000-0000-00000A000000}"/>
    <cellStyle name="Millares 3" xfId="5" xr:uid="{00000000-0005-0000-0000-00000B000000}"/>
    <cellStyle name="Normal" xfId="0" builtinId="0"/>
    <cellStyle name="Normal 2" xfId="6" xr:uid="{00000000-0005-0000-0000-00000D000000}"/>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C4:G27"/>
  <sheetViews>
    <sheetView showGridLines="0" zoomScale="95" zoomScaleNormal="95" workbookViewId="0">
      <selection activeCell="C4" sqref="C4:G26"/>
    </sheetView>
  </sheetViews>
  <sheetFormatPr defaultColWidth="10.7109375" defaultRowHeight="15"/>
  <cols>
    <col min="1" max="1" width="1.42578125" customWidth="1"/>
    <col min="2" max="2" width="2" customWidth="1"/>
    <col min="3" max="3" width="14" customWidth="1"/>
    <col min="4" max="4" width="20.42578125" customWidth="1"/>
    <col min="5" max="5" width="23.7109375" customWidth="1"/>
    <col min="6" max="6" width="36.28515625" customWidth="1"/>
    <col min="7" max="7" width="25.42578125" hidden="1" customWidth="1"/>
  </cols>
  <sheetData>
    <row r="4" spans="3:7" ht="14.85" customHeight="1">
      <c r="C4" s="354" t="s">
        <v>0</v>
      </c>
      <c r="D4" s="355"/>
      <c r="E4" s="355"/>
      <c r="F4" s="355"/>
      <c r="G4" s="356"/>
    </row>
    <row r="5" spans="3:7">
      <c r="C5" s="357"/>
      <c r="D5" s="358"/>
      <c r="E5" s="358"/>
      <c r="F5" s="358"/>
      <c r="G5" s="359"/>
    </row>
    <row r="6" spans="3:7">
      <c r="C6" s="357"/>
      <c r="D6" s="358"/>
      <c r="E6" s="358"/>
      <c r="F6" s="358"/>
      <c r="G6" s="359"/>
    </row>
    <row r="7" spans="3:7">
      <c r="C7" s="357"/>
      <c r="D7" s="358"/>
      <c r="E7" s="358"/>
      <c r="F7" s="358"/>
      <c r="G7" s="359"/>
    </row>
    <row r="8" spans="3:7">
      <c r="C8" s="357"/>
      <c r="D8" s="358"/>
      <c r="E8" s="358"/>
      <c r="F8" s="358"/>
      <c r="G8" s="359"/>
    </row>
    <row r="9" spans="3:7">
      <c r="C9" s="357"/>
      <c r="D9" s="358"/>
      <c r="E9" s="358"/>
      <c r="F9" s="358"/>
      <c r="G9" s="359"/>
    </row>
    <row r="10" spans="3:7">
      <c r="C10" s="357"/>
      <c r="D10" s="358"/>
      <c r="E10" s="358"/>
      <c r="F10" s="358"/>
      <c r="G10" s="359"/>
    </row>
    <row r="11" spans="3:7">
      <c r="C11" s="357"/>
      <c r="D11" s="358"/>
      <c r="E11" s="358"/>
      <c r="F11" s="358"/>
      <c r="G11" s="359"/>
    </row>
    <row r="12" spans="3:7">
      <c r="C12" s="357"/>
      <c r="D12" s="358"/>
      <c r="E12" s="358"/>
      <c r="F12" s="358"/>
      <c r="G12" s="359"/>
    </row>
    <row r="13" spans="3:7">
      <c r="C13" s="357"/>
      <c r="D13" s="358"/>
      <c r="E13" s="358"/>
      <c r="F13" s="358"/>
      <c r="G13" s="359"/>
    </row>
    <row r="14" spans="3:7">
      <c r="C14" s="357"/>
      <c r="D14" s="358"/>
      <c r="E14" s="358"/>
      <c r="F14" s="358"/>
      <c r="G14" s="359"/>
    </row>
    <row r="15" spans="3:7">
      <c r="C15" s="357"/>
      <c r="D15" s="358"/>
      <c r="E15" s="358"/>
      <c r="F15" s="358"/>
      <c r="G15" s="359"/>
    </row>
    <row r="16" spans="3:7">
      <c r="C16" s="357"/>
      <c r="D16" s="358"/>
      <c r="E16" s="358"/>
      <c r="F16" s="358"/>
      <c r="G16" s="359"/>
    </row>
    <row r="17" spans="3:7">
      <c r="C17" s="357"/>
      <c r="D17" s="358"/>
      <c r="E17" s="358"/>
      <c r="F17" s="358"/>
      <c r="G17" s="359"/>
    </row>
    <row r="18" spans="3:7" ht="2.1" customHeight="1">
      <c r="C18" s="357"/>
      <c r="D18" s="358"/>
      <c r="E18" s="358"/>
      <c r="F18" s="358"/>
      <c r="G18" s="359"/>
    </row>
    <row r="19" spans="3:7">
      <c r="C19" s="357"/>
      <c r="D19" s="358"/>
      <c r="E19" s="358"/>
      <c r="F19" s="358"/>
      <c r="G19" s="359"/>
    </row>
    <row r="20" spans="3:7">
      <c r="C20" s="357"/>
      <c r="D20" s="358"/>
      <c r="E20" s="358"/>
      <c r="F20" s="358"/>
      <c r="G20" s="359"/>
    </row>
    <row r="21" spans="3:7">
      <c r="C21" s="357"/>
      <c r="D21" s="358"/>
      <c r="E21" s="358"/>
      <c r="F21" s="358"/>
      <c r="G21" s="359"/>
    </row>
    <row r="22" spans="3:7" ht="9.6" customHeight="1">
      <c r="C22" s="357"/>
      <c r="D22" s="358"/>
      <c r="E22" s="358"/>
      <c r="F22" s="358"/>
      <c r="G22" s="359"/>
    </row>
    <row r="23" spans="3:7" hidden="1">
      <c r="C23" s="357"/>
      <c r="D23" s="358"/>
      <c r="E23" s="358"/>
      <c r="F23" s="358"/>
      <c r="G23" s="359"/>
    </row>
    <row r="24" spans="3:7" hidden="1">
      <c r="C24" s="357"/>
      <c r="D24" s="358"/>
      <c r="E24" s="358"/>
      <c r="F24" s="358"/>
      <c r="G24" s="359"/>
    </row>
    <row r="25" spans="3:7" hidden="1">
      <c r="C25" s="357"/>
      <c r="D25" s="358"/>
      <c r="E25" s="358"/>
      <c r="F25" s="358"/>
      <c r="G25" s="359"/>
    </row>
    <row r="26" spans="3:7" ht="90" customHeight="1">
      <c r="C26" s="360"/>
      <c r="D26" s="361"/>
      <c r="E26" s="361"/>
      <c r="F26" s="361"/>
      <c r="G26" s="362"/>
    </row>
    <row r="27" spans="3:7" ht="45" customHeight="1"/>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B4:G95"/>
  <sheetViews>
    <sheetView showGridLines="0" topLeftCell="A28" zoomScaleNormal="100" workbookViewId="0">
      <selection activeCell="D61" activeCellId="2" sqref="D46 D51 D61"/>
    </sheetView>
  </sheetViews>
  <sheetFormatPr defaultColWidth="10.7109375" defaultRowHeight="15"/>
  <cols>
    <col min="1" max="1" width="4.7109375" customWidth="1"/>
    <col min="2" max="2" width="48.7109375" bestFit="1" customWidth="1"/>
    <col min="3" max="3" width="20.42578125" customWidth="1"/>
    <col min="4" max="4" width="19.28515625" bestFit="1" customWidth="1"/>
    <col min="5" max="5" width="18.28515625" customWidth="1"/>
    <col min="7" max="7" width="16.7109375" customWidth="1"/>
  </cols>
  <sheetData>
    <row r="4" spans="2:7">
      <c r="B4" s="162" t="s">
        <v>573</v>
      </c>
    </row>
    <row r="5" spans="2:7" ht="8.85" customHeight="1"/>
    <row r="6" spans="2:7">
      <c r="B6" s="441" t="s">
        <v>457</v>
      </c>
      <c r="C6" s="188" t="s">
        <v>574</v>
      </c>
      <c r="D6" s="188"/>
      <c r="E6" s="188"/>
      <c r="F6" s="188" t="s">
        <v>574</v>
      </c>
    </row>
    <row r="7" spans="2:7">
      <c r="B7" s="442"/>
      <c r="C7" s="188" t="s">
        <v>575</v>
      </c>
      <c r="D7" s="188" t="s">
        <v>576</v>
      </c>
      <c r="E7" s="188" t="s">
        <v>577</v>
      </c>
      <c r="F7" s="188" t="s">
        <v>578</v>
      </c>
    </row>
    <row r="8" spans="2:7">
      <c r="B8" s="56" t="s">
        <v>579</v>
      </c>
      <c r="C8" s="57">
        <v>57030430</v>
      </c>
      <c r="D8" s="57">
        <v>33409089</v>
      </c>
      <c r="E8" s="57">
        <v>-2091038</v>
      </c>
      <c r="F8" s="57">
        <f>SUM(C8:E8)</f>
        <v>88348481</v>
      </c>
      <c r="G8" s="12"/>
    </row>
    <row r="9" spans="2:7">
      <c r="B9" s="59" t="s">
        <v>580</v>
      </c>
      <c r="C9" s="60">
        <f>+C8</f>
        <v>57030430</v>
      </c>
      <c r="D9" s="60">
        <f>+D8</f>
        <v>33409089</v>
      </c>
      <c r="E9" s="60">
        <f>+E8</f>
        <v>-2091038</v>
      </c>
      <c r="F9" s="60">
        <f>SUM(C9:E9)</f>
        <v>88348481</v>
      </c>
    </row>
    <row r="10" spans="2:7">
      <c r="B10" s="56" t="s">
        <v>581</v>
      </c>
      <c r="C10" s="57">
        <v>2091038</v>
      </c>
      <c r="D10" s="57">
        <v>54939392</v>
      </c>
      <c r="E10" s="57">
        <v>-2091038</v>
      </c>
      <c r="F10" s="57">
        <v>54939392</v>
      </c>
    </row>
    <row r="12" spans="2:7">
      <c r="B12" s="162" t="s">
        <v>582</v>
      </c>
      <c r="C12" s="158"/>
      <c r="D12" s="158"/>
      <c r="E12" s="158"/>
      <c r="F12" s="158"/>
    </row>
    <row r="13" spans="2:7">
      <c r="B13" s="424" t="s">
        <v>481</v>
      </c>
      <c r="C13" s="424"/>
      <c r="D13" s="424"/>
      <c r="E13" s="424"/>
      <c r="F13" s="424"/>
    </row>
    <row r="14" spans="2:7">
      <c r="B14" s="158"/>
      <c r="C14" s="158"/>
      <c r="D14" s="158"/>
      <c r="E14" s="158"/>
      <c r="F14" s="158"/>
    </row>
    <row r="15" spans="2:7">
      <c r="B15" s="430" t="s">
        <v>583</v>
      </c>
      <c r="C15" s="430"/>
      <c r="D15" s="430"/>
      <c r="E15" s="430"/>
      <c r="F15" s="158"/>
    </row>
    <row r="16" spans="2:7" ht="11.85" customHeight="1"/>
    <row r="17" spans="2:6">
      <c r="B17" s="189" t="s">
        <v>584</v>
      </c>
      <c r="C17" s="189" t="s">
        <v>467</v>
      </c>
      <c r="D17" s="189" t="s">
        <v>508</v>
      </c>
    </row>
    <row r="18" spans="2:6">
      <c r="B18" s="43" t="s">
        <v>585</v>
      </c>
      <c r="C18" s="42">
        <v>13036300</v>
      </c>
      <c r="D18" s="42">
        <v>36680244</v>
      </c>
      <c r="E18" s="39"/>
      <c r="F18" s="15"/>
    </row>
    <row r="19" spans="2:6">
      <c r="B19" s="43" t="s">
        <v>586</v>
      </c>
      <c r="C19" s="42">
        <v>0</v>
      </c>
      <c r="D19" s="42">
        <v>0</v>
      </c>
      <c r="E19" s="39"/>
      <c r="F19" s="15"/>
    </row>
    <row r="20" spans="2:6">
      <c r="B20" s="43" t="s">
        <v>587</v>
      </c>
      <c r="C20" s="42">
        <v>37678331</v>
      </c>
      <c r="D20" s="42">
        <v>63028115</v>
      </c>
      <c r="E20" s="39"/>
      <c r="F20" s="15"/>
    </row>
    <row r="21" spans="2:6">
      <c r="B21" s="43" t="s">
        <v>588</v>
      </c>
      <c r="C21" s="42">
        <v>0</v>
      </c>
      <c r="D21" s="42">
        <v>0</v>
      </c>
      <c r="E21" s="39"/>
      <c r="F21" s="15"/>
    </row>
    <row r="22" spans="2:6">
      <c r="B22" s="43" t="s">
        <v>589</v>
      </c>
      <c r="C22" s="42">
        <v>0</v>
      </c>
      <c r="D22" s="42">
        <v>468416</v>
      </c>
      <c r="E22" s="39"/>
      <c r="F22" s="15"/>
    </row>
    <row r="23" spans="2:6">
      <c r="B23" s="43" t="s">
        <v>590</v>
      </c>
      <c r="C23" s="42">
        <v>0</v>
      </c>
      <c r="D23" s="42">
        <v>0</v>
      </c>
      <c r="E23" s="39"/>
      <c r="F23" s="15"/>
    </row>
    <row r="24" spans="2:6">
      <c r="B24" s="43" t="s">
        <v>591</v>
      </c>
      <c r="C24" s="42">
        <v>0</v>
      </c>
      <c r="D24" s="42">
        <v>0</v>
      </c>
      <c r="E24" s="39"/>
      <c r="F24" s="15"/>
    </row>
    <row r="25" spans="2:6">
      <c r="B25" s="43" t="s">
        <v>592</v>
      </c>
      <c r="C25" s="42">
        <v>0</v>
      </c>
      <c r="D25" s="42">
        <v>0</v>
      </c>
      <c r="E25" s="39"/>
      <c r="F25" s="15"/>
    </row>
    <row r="26" spans="2:6">
      <c r="B26" s="43" t="s">
        <v>593</v>
      </c>
      <c r="C26" s="42">
        <v>0</v>
      </c>
      <c r="D26" s="42">
        <v>0</v>
      </c>
      <c r="E26" s="39"/>
      <c r="F26" s="15"/>
    </row>
    <row r="27" spans="2:6">
      <c r="B27" s="43" t="s">
        <v>594</v>
      </c>
      <c r="C27" s="42">
        <v>2550307</v>
      </c>
      <c r="D27" s="42">
        <v>6186970</v>
      </c>
      <c r="E27" s="39"/>
      <c r="F27" s="15"/>
    </row>
    <row r="28" spans="2:6">
      <c r="B28" s="43" t="s">
        <v>595</v>
      </c>
      <c r="C28" s="42">
        <v>1006847</v>
      </c>
      <c r="D28" s="42">
        <v>20312918</v>
      </c>
      <c r="E28" s="39"/>
      <c r="F28" s="15"/>
    </row>
    <row r="29" spans="2:6">
      <c r="B29" s="43" t="s">
        <v>596</v>
      </c>
      <c r="C29" s="42">
        <v>0</v>
      </c>
      <c r="D29" s="42">
        <v>0</v>
      </c>
      <c r="E29" s="39"/>
      <c r="F29" s="15"/>
    </row>
    <row r="30" spans="2:6">
      <c r="B30" s="43" t="s">
        <v>597</v>
      </c>
      <c r="C30" s="42">
        <v>1757571</v>
      </c>
      <c r="D30" s="42">
        <v>318180</v>
      </c>
      <c r="E30" s="39"/>
      <c r="F30" s="15"/>
    </row>
    <row r="31" spans="2:6">
      <c r="B31" s="43" t="s">
        <v>598</v>
      </c>
      <c r="C31" s="42">
        <v>48537626</v>
      </c>
      <c r="D31" s="42"/>
      <c r="E31" s="39"/>
      <c r="F31" s="15"/>
    </row>
    <row r="32" spans="2:6">
      <c r="B32" s="45" t="s">
        <v>200</v>
      </c>
      <c r="C32" s="46">
        <f>SUM(C18:C31)</f>
        <v>104566982</v>
      </c>
      <c r="D32" s="46">
        <f>SUM(D18:D31)</f>
        <v>126994843</v>
      </c>
      <c r="F32" s="11"/>
    </row>
    <row r="34" spans="2:6">
      <c r="B34" s="430" t="s">
        <v>599</v>
      </c>
      <c r="C34" s="430"/>
      <c r="D34" s="430"/>
      <c r="E34" s="430"/>
      <c r="F34" s="158"/>
    </row>
    <row r="35" spans="2:6" ht="11.85" customHeight="1"/>
    <row r="36" spans="2:6">
      <c r="B36" s="189" t="s">
        <v>584</v>
      </c>
      <c r="C36" s="189" t="s">
        <v>467</v>
      </c>
      <c r="D36" s="189" t="s">
        <v>508</v>
      </c>
    </row>
    <row r="37" spans="2:6">
      <c r="B37" s="43" t="s">
        <v>600</v>
      </c>
      <c r="C37" s="42">
        <v>311618073</v>
      </c>
      <c r="D37" s="42">
        <v>311618073</v>
      </c>
      <c r="E37" s="39"/>
      <c r="F37" s="15"/>
    </row>
    <row r="38" spans="2:6">
      <c r="B38" s="43"/>
      <c r="C38" s="42"/>
      <c r="D38" s="42">
        <v>0</v>
      </c>
      <c r="E38" s="39"/>
      <c r="F38" s="15"/>
    </row>
    <row r="39" spans="2:6">
      <c r="B39" s="45" t="s">
        <v>200</v>
      </c>
      <c r="C39" s="46">
        <f>SUM(C37:C38)</f>
        <v>311618073</v>
      </c>
      <c r="D39" s="49">
        <f>SUM(D37:D38)</f>
        <v>311618073</v>
      </c>
      <c r="F39" s="11"/>
    </row>
    <row r="40" spans="2:6">
      <c r="B40" s="51"/>
      <c r="C40" s="218"/>
      <c r="D40" s="219"/>
      <c r="F40" s="11"/>
    </row>
    <row r="41" spans="2:6">
      <c r="B41" s="162" t="s">
        <v>601</v>
      </c>
      <c r="C41" s="158"/>
      <c r="D41" s="158"/>
    </row>
    <row r="42" spans="2:6">
      <c r="B42" s="438" t="s">
        <v>481</v>
      </c>
      <c r="C42" s="438"/>
      <c r="D42" s="438"/>
    </row>
    <row r="43" spans="2:6">
      <c r="B43" s="157"/>
      <c r="C43" s="158"/>
      <c r="D43" s="158"/>
    </row>
    <row r="44" spans="2:6">
      <c r="B44" s="157" t="s">
        <v>602</v>
      </c>
      <c r="C44" s="158"/>
      <c r="D44" s="158"/>
    </row>
    <row r="45" spans="2:6" ht="16.350000000000001" customHeight="1">
      <c r="B45" s="184" t="s">
        <v>603</v>
      </c>
      <c r="C45" s="183" t="s">
        <v>604</v>
      </c>
      <c r="D45" s="184" t="s">
        <v>605</v>
      </c>
    </row>
    <row r="46" spans="2:6">
      <c r="B46" s="62" t="s">
        <v>606</v>
      </c>
      <c r="C46" s="61">
        <v>200000000</v>
      </c>
      <c r="D46" s="61">
        <v>123076920</v>
      </c>
    </row>
    <row r="47" spans="2:6">
      <c r="B47" s="64" t="s">
        <v>200</v>
      </c>
      <c r="C47" s="67">
        <f>+C46</f>
        <v>200000000</v>
      </c>
      <c r="D47" s="68">
        <f>+D46</f>
        <v>123076920</v>
      </c>
    </row>
    <row r="49" spans="2:4">
      <c r="B49" s="172" t="s">
        <v>607</v>
      </c>
      <c r="C49" s="27"/>
      <c r="D49" s="27"/>
    </row>
    <row r="50" spans="2:4">
      <c r="B50" s="184" t="s">
        <v>608</v>
      </c>
      <c r="C50" s="183" t="s">
        <v>604</v>
      </c>
      <c r="D50" s="184" t="s">
        <v>605</v>
      </c>
    </row>
    <row r="51" spans="2:4">
      <c r="B51" s="62" t="s">
        <v>606</v>
      </c>
      <c r="C51" s="144">
        <v>1726027</v>
      </c>
      <c r="D51" s="144">
        <v>26877013</v>
      </c>
    </row>
    <row r="52" spans="2:4">
      <c r="B52" s="145" t="s">
        <v>200</v>
      </c>
      <c r="C52" s="146">
        <f>+C51</f>
        <v>1726027</v>
      </c>
      <c r="D52" s="147">
        <f>+D51</f>
        <v>26877013</v>
      </c>
    </row>
    <row r="54" spans="2:4">
      <c r="B54" s="157" t="s">
        <v>609</v>
      </c>
    </row>
    <row r="55" spans="2:4">
      <c r="B55" s="184" t="s">
        <v>610</v>
      </c>
      <c r="C55" s="183" t="s">
        <v>604</v>
      </c>
      <c r="D55" s="184" t="s">
        <v>605</v>
      </c>
    </row>
    <row r="56" spans="2:4">
      <c r="B56" s="62" t="s">
        <v>572</v>
      </c>
      <c r="C56" s="58"/>
      <c r="D56" s="70"/>
    </row>
    <row r="57" spans="2:4">
      <c r="B57" s="64" t="s">
        <v>200</v>
      </c>
      <c r="C57" s="69" t="s">
        <v>611</v>
      </c>
      <c r="D57" s="71" t="s">
        <v>611</v>
      </c>
    </row>
    <row r="59" spans="2:4">
      <c r="B59" s="157" t="s">
        <v>612</v>
      </c>
    </row>
    <row r="60" spans="2:4">
      <c r="B60" s="184" t="s">
        <v>603</v>
      </c>
      <c r="C60" s="183" t="s">
        <v>604</v>
      </c>
      <c r="D60" s="184" t="s">
        <v>605</v>
      </c>
    </row>
    <row r="61" spans="2:4">
      <c r="B61" s="62" t="s">
        <v>606</v>
      </c>
      <c r="C61" s="61">
        <v>0</v>
      </c>
      <c r="D61" s="61">
        <v>76923080</v>
      </c>
    </row>
    <row r="62" spans="2:4">
      <c r="B62" s="64" t="s">
        <v>200</v>
      </c>
      <c r="C62" s="67">
        <f>+C61</f>
        <v>0</v>
      </c>
      <c r="D62" s="68">
        <f>+D61</f>
        <v>76923080</v>
      </c>
    </row>
    <row r="65" spans="2:6">
      <c r="B65" s="430" t="s">
        <v>613</v>
      </c>
      <c r="C65" s="430"/>
      <c r="D65" s="430"/>
      <c r="E65" s="158"/>
    </row>
    <row r="66" spans="2:6" ht="15.75" thickBot="1">
      <c r="B66" s="438" t="s">
        <v>481</v>
      </c>
      <c r="C66" s="438"/>
      <c r="D66" s="438"/>
      <c r="E66" s="438"/>
    </row>
    <row r="67" spans="2:6">
      <c r="B67" s="186" t="s">
        <v>457</v>
      </c>
      <c r="C67" s="187" t="s">
        <v>467</v>
      </c>
      <c r="D67" s="187" t="s">
        <v>614</v>
      </c>
    </row>
    <row r="68" spans="2:6">
      <c r="B68" s="62" t="s">
        <v>615</v>
      </c>
      <c r="C68" s="48">
        <v>50250</v>
      </c>
      <c r="D68" s="48">
        <v>0</v>
      </c>
      <c r="F68" s="16"/>
    </row>
    <row r="69" spans="2:6">
      <c r="B69" s="62" t="s">
        <v>616</v>
      </c>
      <c r="C69" s="48"/>
      <c r="D69" s="48">
        <v>0</v>
      </c>
      <c r="F69" s="16"/>
    </row>
    <row r="70" spans="2:6">
      <c r="B70" s="62" t="s">
        <v>617</v>
      </c>
      <c r="C70" s="48">
        <v>38466</v>
      </c>
      <c r="D70" s="48">
        <v>0</v>
      </c>
      <c r="F70" s="16"/>
    </row>
    <row r="71" spans="2:6">
      <c r="B71" s="62" t="s">
        <v>618</v>
      </c>
      <c r="C71" s="48"/>
      <c r="D71" s="48">
        <v>60078</v>
      </c>
      <c r="F71" s="16"/>
    </row>
    <row r="72" spans="2:6">
      <c r="B72" s="62" t="s">
        <v>619</v>
      </c>
      <c r="C72" s="48">
        <v>1750000</v>
      </c>
      <c r="D72" s="48">
        <v>0</v>
      </c>
      <c r="F72" s="16"/>
    </row>
    <row r="73" spans="2:6">
      <c r="B73" s="62" t="s">
        <v>620</v>
      </c>
      <c r="C73" s="48"/>
      <c r="D73" s="48">
        <v>4554660</v>
      </c>
      <c r="F73" s="16"/>
    </row>
    <row r="74" spans="2:6">
      <c r="B74" s="62" t="s">
        <v>621</v>
      </c>
      <c r="C74" s="48">
        <v>359425</v>
      </c>
      <c r="D74" s="48">
        <v>96800</v>
      </c>
      <c r="F74" s="16"/>
    </row>
    <row r="75" spans="2:6">
      <c r="B75" s="62" t="s">
        <v>622</v>
      </c>
      <c r="C75" s="48">
        <v>1375000</v>
      </c>
      <c r="D75" s="48">
        <v>0</v>
      </c>
      <c r="F75" s="16"/>
    </row>
    <row r="76" spans="2:6">
      <c r="B76" s="62" t="s">
        <v>623</v>
      </c>
      <c r="C76" s="48">
        <v>124397</v>
      </c>
      <c r="D76" s="48">
        <v>97886</v>
      </c>
      <c r="F76" s="16"/>
    </row>
    <row r="77" spans="2:6">
      <c r="B77" s="62" t="s">
        <v>624</v>
      </c>
      <c r="C77" s="48"/>
      <c r="D77" s="48">
        <v>0</v>
      </c>
      <c r="F77" s="16"/>
    </row>
    <row r="78" spans="2:6">
      <c r="B78" s="62" t="s">
        <v>625</v>
      </c>
      <c r="C78" s="48">
        <v>8416014</v>
      </c>
      <c r="D78" s="48">
        <v>3777385</v>
      </c>
      <c r="F78" s="16"/>
    </row>
    <row r="79" spans="2:6">
      <c r="B79" s="62" t="s">
        <v>626</v>
      </c>
      <c r="C79" s="48">
        <v>510000</v>
      </c>
      <c r="D79" s="48">
        <v>150000</v>
      </c>
      <c r="F79" s="16"/>
    </row>
    <row r="80" spans="2:6">
      <c r="B80" s="62" t="s">
        <v>627</v>
      </c>
      <c r="C80" s="48"/>
      <c r="D80" s="48">
        <v>0</v>
      </c>
      <c r="F80" s="16"/>
    </row>
    <row r="81" spans="2:6">
      <c r="B81" s="62" t="s">
        <v>628</v>
      </c>
      <c r="C81" s="48">
        <v>1080000</v>
      </c>
      <c r="D81" s="48">
        <v>0</v>
      </c>
      <c r="F81" s="16"/>
    </row>
    <row r="82" spans="2:6">
      <c r="B82" s="62" t="s">
        <v>629</v>
      </c>
      <c r="C82" s="48">
        <v>720000</v>
      </c>
      <c r="D82" s="48">
        <v>1440000</v>
      </c>
      <c r="F82" s="16"/>
    </row>
    <row r="83" spans="2:6">
      <c r="B83" s="62" t="s">
        <v>630</v>
      </c>
      <c r="C83" s="48">
        <v>1399779</v>
      </c>
      <c r="D83" s="48">
        <v>0</v>
      </c>
      <c r="F83" s="16"/>
    </row>
    <row r="84" spans="2:6">
      <c r="B84" s="62" t="s">
        <v>631</v>
      </c>
      <c r="C84" s="48">
        <v>2942430</v>
      </c>
      <c r="D84" s="48">
        <v>0</v>
      </c>
      <c r="F84" s="16"/>
    </row>
    <row r="85" spans="2:6">
      <c r="B85" s="62" t="s">
        <v>632</v>
      </c>
      <c r="C85" s="48">
        <f>447789+320000+240000</f>
        <v>1007789</v>
      </c>
      <c r="D85" s="48">
        <v>0</v>
      </c>
      <c r="F85" s="16"/>
    </row>
    <row r="86" spans="2:6">
      <c r="B86" s="62" t="s">
        <v>633</v>
      </c>
      <c r="C86" s="48"/>
      <c r="D86" s="48">
        <v>99000</v>
      </c>
      <c r="F86" s="16"/>
    </row>
    <row r="87" spans="2:6">
      <c r="B87" s="62" t="s">
        <v>634</v>
      </c>
      <c r="C87" s="48"/>
      <c r="D87" s="48">
        <v>40000</v>
      </c>
      <c r="F87" s="16"/>
    </row>
    <row r="88" spans="2:6">
      <c r="B88" s="64" t="s">
        <v>200</v>
      </c>
      <c r="C88" s="68">
        <f>SUM(C68:C87)</f>
        <v>19773550</v>
      </c>
      <c r="D88" s="68">
        <f>SUM(D68:D87)</f>
        <v>10315809</v>
      </c>
      <c r="E88" s="18"/>
      <c r="F88" s="17"/>
    </row>
    <row r="90" spans="2:6">
      <c r="B90" s="162" t="s">
        <v>635</v>
      </c>
    </row>
    <row r="91" spans="2:6">
      <c r="B91" s="184" t="s">
        <v>457</v>
      </c>
      <c r="C91" s="184" t="s">
        <v>467</v>
      </c>
      <c r="D91" s="184" t="s">
        <v>614</v>
      </c>
    </row>
    <row r="92" spans="2:6">
      <c r="B92" s="62" t="s">
        <v>636</v>
      </c>
      <c r="C92" s="47">
        <v>20029477.142000001</v>
      </c>
      <c r="D92" s="47">
        <v>22985175.989999995</v>
      </c>
    </row>
    <row r="93" spans="2:6">
      <c r="B93" s="64" t="s">
        <v>200</v>
      </c>
      <c r="C93" s="68">
        <f>+C92</f>
        <v>20029477.142000001</v>
      </c>
      <c r="D93" s="68">
        <f>+D92</f>
        <v>22985175.989999995</v>
      </c>
      <c r="E93" s="18"/>
      <c r="F93" s="18"/>
    </row>
    <row r="95" spans="2:6">
      <c r="C95" s="18"/>
    </row>
  </sheetData>
  <sortState xmlns:xlrd2="http://schemas.microsoft.com/office/spreadsheetml/2017/richdata2" ref="B68:D87">
    <sortCondition ref="B68:B87"/>
  </sortState>
  <mergeCells count="7">
    <mergeCell ref="B66:E66"/>
    <mergeCell ref="B6:B7"/>
    <mergeCell ref="B13:F13"/>
    <mergeCell ref="B15:E15"/>
    <mergeCell ref="B42:D42"/>
    <mergeCell ref="B65:D65"/>
    <mergeCell ref="B34:E34"/>
  </mergeCells>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B3:I79"/>
  <sheetViews>
    <sheetView showGridLines="0" tabSelected="1" topLeftCell="A14" zoomScaleNormal="100" workbookViewId="0">
      <selection activeCell="E68" sqref="E68:E69"/>
    </sheetView>
  </sheetViews>
  <sheetFormatPr defaultColWidth="11.42578125" defaultRowHeight="15"/>
  <cols>
    <col min="1" max="1" width="5.42578125" customWidth="1"/>
    <col min="2" max="2" width="68.42578125" bestFit="1" customWidth="1"/>
    <col min="3" max="3" width="17.7109375" bestFit="1" customWidth="1"/>
    <col min="4" max="4" width="19.28515625" bestFit="1" customWidth="1"/>
    <col min="6" max="6" width="16.85546875" bestFit="1" customWidth="1"/>
    <col min="7" max="7" width="22.28515625" customWidth="1"/>
  </cols>
  <sheetData>
    <row r="3" spans="2:5">
      <c r="B3" s="430" t="s">
        <v>637</v>
      </c>
      <c r="C3" s="430"/>
      <c r="D3" s="430"/>
      <c r="E3" s="430"/>
    </row>
    <row r="4" spans="2:5" ht="15.75" thickBot="1">
      <c r="B4" s="168"/>
      <c r="C4" s="168"/>
      <c r="D4" s="168"/>
      <c r="E4" s="158"/>
    </row>
    <row r="5" spans="2:5">
      <c r="B5" s="222" t="s">
        <v>457</v>
      </c>
      <c r="C5" s="223" t="s">
        <v>467</v>
      </c>
      <c r="D5" s="224" t="s">
        <v>614</v>
      </c>
    </row>
    <row r="6" spans="2:5">
      <c r="B6" s="225" t="s">
        <v>638</v>
      </c>
      <c r="C6" s="221">
        <v>0</v>
      </c>
      <c r="D6" s="221">
        <v>200275916</v>
      </c>
    </row>
    <row r="7" spans="2:5">
      <c r="B7" s="225" t="s">
        <v>639</v>
      </c>
      <c r="C7" s="221">
        <v>0</v>
      </c>
      <c r="D7" s="221">
        <v>6839610</v>
      </c>
    </row>
    <row r="8" spans="2:5">
      <c r="B8" s="225" t="s">
        <v>640</v>
      </c>
      <c r="C8" s="221">
        <v>0</v>
      </c>
      <c r="D8" s="221">
        <v>224477676</v>
      </c>
    </row>
    <row r="9" spans="2:5">
      <c r="B9" s="225" t="s">
        <v>641</v>
      </c>
      <c r="C9" s="229">
        <v>0</v>
      </c>
      <c r="D9" s="229">
        <v>29546672</v>
      </c>
    </row>
    <row r="10" spans="2:5" ht="15.75" thickBot="1">
      <c r="B10" s="227"/>
      <c r="C10" s="228">
        <f>SUM(C6:C9)</f>
        <v>0</v>
      </c>
      <c r="D10" s="228">
        <f>SUM(D6:D9)</f>
        <v>461139874</v>
      </c>
    </row>
    <row r="11" spans="2:5">
      <c r="B11" s="158"/>
      <c r="C11" s="161"/>
      <c r="D11" s="161"/>
      <c r="E11" s="161"/>
    </row>
    <row r="12" spans="2:5">
      <c r="B12" s="158"/>
      <c r="C12" s="158"/>
      <c r="D12" s="158"/>
      <c r="E12" s="158"/>
    </row>
    <row r="13" spans="2:5">
      <c r="B13" s="444" t="s">
        <v>642</v>
      </c>
      <c r="C13" s="444"/>
      <c r="D13" s="444"/>
      <c r="E13" s="158"/>
    </row>
    <row r="14" spans="2:5" ht="15.75" thickBot="1">
      <c r="B14" s="168"/>
      <c r="C14" s="168"/>
      <c r="D14" s="168"/>
      <c r="E14" s="158"/>
    </row>
    <row r="15" spans="2:5">
      <c r="B15" s="222" t="s">
        <v>457</v>
      </c>
      <c r="C15" s="223" t="s">
        <v>467</v>
      </c>
      <c r="D15" s="224" t="s">
        <v>614</v>
      </c>
    </row>
    <row r="16" spans="2:5">
      <c r="B16" s="225" t="s">
        <v>527</v>
      </c>
      <c r="C16" s="221">
        <v>2000000</v>
      </c>
      <c r="D16" s="221">
        <v>11261397</v>
      </c>
    </row>
    <row r="17" spans="2:4">
      <c r="B17" s="225" t="s">
        <v>643</v>
      </c>
      <c r="C17" s="221">
        <v>0</v>
      </c>
      <c r="D17" s="221">
        <v>0</v>
      </c>
    </row>
    <row r="18" spans="2:4" ht="15.75" thickBot="1">
      <c r="B18" s="227"/>
      <c r="C18" s="228">
        <f>SUM(C16:C17)</f>
        <v>2000000</v>
      </c>
      <c r="D18" s="228">
        <f>SUM(D16:D17)</f>
        <v>11261397</v>
      </c>
    </row>
    <row r="19" spans="2:4">
      <c r="B19" s="220"/>
      <c r="C19" s="250"/>
      <c r="D19" s="250"/>
    </row>
    <row r="20" spans="2:4" ht="15.75" thickBot="1">
      <c r="B20" s="220" t="s">
        <v>360</v>
      </c>
      <c r="C20" s="250"/>
      <c r="D20" s="250"/>
    </row>
    <row r="21" spans="2:4">
      <c r="B21" s="222" t="s">
        <v>457</v>
      </c>
      <c r="C21" s="223" t="s">
        <v>467</v>
      </c>
      <c r="D21" s="224" t="s">
        <v>614</v>
      </c>
    </row>
    <row r="22" spans="2:4">
      <c r="B22" s="225" t="s">
        <v>644</v>
      </c>
      <c r="C22" s="221">
        <v>0</v>
      </c>
      <c r="D22" s="226">
        <v>0</v>
      </c>
    </row>
    <row r="23" spans="2:4">
      <c r="B23" s="225" t="s">
        <v>645</v>
      </c>
      <c r="C23" s="221">
        <v>0</v>
      </c>
      <c r="D23" s="226">
        <v>-449132</v>
      </c>
    </row>
    <row r="24" spans="2:4">
      <c r="B24" s="225" t="s">
        <v>646</v>
      </c>
      <c r="C24" s="221">
        <v>0</v>
      </c>
      <c r="D24" s="226">
        <v>0</v>
      </c>
    </row>
    <row r="25" spans="2:4">
      <c r="B25" s="225" t="s">
        <v>647</v>
      </c>
      <c r="C25" s="48">
        <v>12019938</v>
      </c>
      <c r="D25" s="226">
        <v>12019938</v>
      </c>
    </row>
    <row r="26" spans="2:4">
      <c r="B26" s="225" t="s">
        <v>648</v>
      </c>
      <c r="C26" s="221">
        <v>0</v>
      </c>
      <c r="D26" s="226">
        <v>0</v>
      </c>
    </row>
    <row r="27" spans="2:4">
      <c r="B27" s="255" t="s">
        <v>649</v>
      </c>
      <c r="C27" s="221">
        <v>0</v>
      </c>
      <c r="D27" s="226">
        <v>-449132</v>
      </c>
    </row>
    <row r="28" spans="2:4">
      <c r="B28" s="225" t="s">
        <v>650</v>
      </c>
      <c r="C28" s="221">
        <v>0</v>
      </c>
      <c r="D28" s="226">
        <v>0</v>
      </c>
    </row>
    <row r="29" spans="2:4">
      <c r="B29" s="225" t="s">
        <v>651</v>
      </c>
      <c r="C29" s="221">
        <v>0</v>
      </c>
      <c r="D29" s="226">
        <v>0</v>
      </c>
    </row>
    <row r="30" spans="2:4">
      <c r="B30" s="225" t="s">
        <v>652</v>
      </c>
      <c r="C30" s="221">
        <v>0</v>
      </c>
      <c r="D30" s="226">
        <v>0</v>
      </c>
    </row>
    <row r="31" spans="2:4">
      <c r="B31" s="251" t="s">
        <v>653</v>
      </c>
      <c r="C31" s="221">
        <v>0</v>
      </c>
      <c r="D31" s="252">
        <v>0</v>
      </c>
    </row>
    <row r="32" spans="2:4" ht="15.75" thickBot="1">
      <c r="B32" s="227"/>
      <c r="C32" s="228">
        <f>SUM(C22:C31)</f>
        <v>12019938</v>
      </c>
      <c r="D32" s="228">
        <f>SUM(D22:D31)</f>
        <v>11121674</v>
      </c>
    </row>
    <row r="33" spans="2:6">
      <c r="B33" s="158"/>
      <c r="C33" s="168"/>
      <c r="D33" s="168"/>
      <c r="E33" s="158"/>
    </row>
    <row r="34" spans="2:6">
      <c r="B34" s="157" t="s">
        <v>654</v>
      </c>
      <c r="C34" s="158"/>
      <c r="D34" s="158"/>
      <c r="E34" s="158"/>
    </row>
    <row r="35" spans="2:6">
      <c r="B35" s="158" t="s">
        <v>655</v>
      </c>
      <c r="C35" s="158"/>
      <c r="D35" s="158"/>
      <c r="E35" s="158"/>
    </row>
    <row r="36" spans="2:6">
      <c r="B36" s="158"/>
      <c r="C36" s="158"/>
      <c r="D36" s="158"/>
      <c r="E36" s="158"/>
    </row>
    <row r="37" spans="2:6">
      <c r="B37" s="430" t="s">
        <v>656</v>
      </c>
      <c r="C37" s="430"/>
      <c r="D37" s="158"/>
      <c r="E37" s="158"/>
    </row>
    <row r="38" spans="2:6">
      <c r="B38" s="161"/>
      <c r="C38" s="161"/>
      <c r="D38" s="158"/>
      <c r="E38" s="158"/>
    </row>
    <row r="39" spans="2:6" ht="15.75" thickBot="1">
      <c r="B39" s="438" t="s">
        <v>481</v>
      </c>
      <c r="C39" s="438"/>
      <c r="D39" s="438"/>
      <c r="E39" s="438"/>
    </row>
    <row r="40" spans="2:6">
      <c r="B40" s="186" t="s">
        <v>457</v>
      </c>
      <c r="C40" s="187" t="s">
        <v>467</v>
      </c>
      <c r="D40" s="187" t="s">
        <v>614</v>
      </c>
    </row>
    <row r="41" spans="2:6">
      <c r="B41" s="62" t="s">
        <v>657</v>
      </c>
      <c r="C41" s="48">
        <f>+'Balance General'!F22</f>
        <v>5043956</v>
      </c>
      <c r="D41" s="63">
        <v>5043956</v>
      </c>
      <c r="F41" s="16"/>
    </row>
    <row r="42" spans="2:6">
      <c r="B42" s="62" t="s">
        <v>658</v>
      </c>
      <c r="C42" s="48">
        <f>+'Balance General'!F26</f>
        <v>12019938</v>
      </c>
      <c r="D42" s="63">
        <v>11121674</v>
      </c>
      <c r="F42" s="16"/>
    </row>
    <row r="43" spans="2:6">
      <c r="B43" s="62" t="s">
        <v>659</v>
      </c>
      <c r="C43" s="48">
        <v>18419942</v>
      </c>
      <c r="D43" s="63" t="s">
        <v>660</v>
      </c>
      <c r="F43" s="16"/>
    </row>
    <row r="44" spans="2:6">
      <c r="B44" s="64" t="s">
        <v>200</v>
      </c>
      <c r="C44" s="68">
        <f>SUM(C41:C43)</f>
        <v>35483836</v>
      </c>
      <c r="D44" s="68">
        <f>SUM(D41:D43)</f>
        <v>16165630</v>
      </c>
      <c r="E44" s="18"/>
      <c r="F44" s="17"/>
    </row>
    <row r="45" spans="2:6">
      <c r="B45" s="133"/>
      <c r="C45" s="133"/>
    </row>
    <row r="47" spans="2:6">
      <c r="B47" s="157" t="s">
        <v>661</v>
      </c>
      <c r="C47" s="158"/>
      <c r="D47" s="158"/>
    </row>
    <row r="48" spans="2:6" ht="15.75" hidden="1" thickBot="1">
      <c r="B48" s="171" t="s">
        <v>662</v>
      </c>
      <c r="C48" s="169"/>
      <c r="D48" s="169"/>
      <c r="F48" s="36"/>
    </row>
    <row r="49" spans="2:9" ht="15.75" hidden="1" thickBot="1">
      <c r="B49" s="171" t="s">
        <v>663</v>
      </c>
      <c r="C49" s="169"/>
      <c r="D49" s="169"/>
      <c r="F49" s="36"/>
    </row>
    <row r="50" spans="2:9" ht="15.75" hidden="1" thickBot="1">
      <c r="B50" s="171" t="s">
        <v>664</v>
      </c>
      <c r="C50" s="169"/>
      <c r="D50" s="169"/>
      <c r="F50" s="36"/>
    </row>
    <row r="51" spans="2:9">
      <c r="B51" s="158" t="s">
        <v>655</v>
      </c>
      <c r="C51" s="170"/>
      <c r="D51" s="170"/>
      <c r="F51" s="36"/>
    </row>
    <row r="52" spans="2:9">
      <c r="B52" s="158"/>
      <c r="C52" s="158"/>
      <c r="D52" s="158"/>
    </row>
    <row r="53" spans="2:9">
      <c r="B53" s="439" t="s">
        <v>665</v>
      </c>
      <c r="C53" s="439"/>
      <c r="D53" s="439"/>
    </row>
    <row r="54" spans="2:9">
      <c r="B54" s="159"/>
      <c r="C54" s="158"/>
      <c r="D54" s="158"/>
    </row>
    <row r="55" spans="2:9">
      <c r="B55" s="162" t="s">
        <v>666</v>
      </c>
      <c r="C55" s="158"/>
      <c r="D55" s="158"/>
      <c r="F55" s="294"/>
      <c r="G55" s="37"/>
      <c r="H55" s="37"/>
      <c r="I55" s="37"/>
    </row>
    <row r="56" spans="2:9" ht="15.75" thickBot="1">
      <c r="B56" s="162"/>
      <c r="C56" s="158"/>
      <c r="D56" s="158"/>
      <c r="F56" s="294"/>
    </row>
    <row r="57" spans="2:9">
      <c r="B57" s="186" t="s">
        <v>667</v>
      </c>
      <c r="C57" s="187" t="s">
        <v>457</v>
      </c>
      <c r="D57" s="187" t="s">
        <v>668</v>
      </c>
      <c r="E57" s="223" t="s">
        <v>467</v>
      </c>
      <c r="F57" s="224" t="s">
        <v>614</v>
      </c>
    </row>
    <row r="58" spans="2:9">
      <c r="B58" s="225" t="s">
        <v>527</v>
      </c>
      <c r="C58" s="62" t="s">
        <v>669</v>
      </c>
      <c r="D58" s="62" t="s">
        <v>30</v>
      </c>
      <c r="E58" s="221">
        <v>14620000.060000001</v>
      </c>
      <c r="F58" s="221">
        <v>0</v>
      </c>
    </row>
    <row r="59" spans="2:9">
      <c r="B59" s="225" t="s">
        <v>527</v>
      </c>
      <c r="C59" s="62" t="s">
        <v>670</v>
      </c>
      <c r="D59" s="62" t="s">
        <v>30</v>
      </c>
      <c r="E59" s="221">
        <v>0</v>
      </c>
      <c r="F59" s="221">
        <v>11261397</v>
      </c>
    </row>
    <row r="60" spans="2:9">
      <c r="B60" s="302" t="s">
        <v>546</v>
      </c>
      <c r="C60" s="62" t="s">
        <v>669</v>
      </c>
      <c r="D60" s="62" t="s">
        <v>671</v>
      </c>
      <c r="E60" s="303">
        <v>3500000.14</v>
      </c>
      <c r="F60" s="304"/>
    </row>
    <row r="61" spans="2:9" ht="15.75" thickBot="1">
      <c r="B61" s="227"/>
      <c r="C61" s="64"/>
      <c r="D61" s="64"/>
      <c r="E61" s="228">
        <f>SUM(E58:E60)</f>
        <v>18120000.199999999</v>
      </c>
      <c r="F61" s="295">
        <f>SUM(F59:F59)</f>
        <v>11261397</v>
      </c>
    </row>
    <row r="63" spans="2:9">
      <c r="B63" s="7"/>
      <c r="F63" s="294"/>
    </row>
    <row r="64" spans="2:9">
      <c r="B64" s="162" t="s">
        <v>672</v>
      </c>
      <c r="C64" s="296"/>
      <c r="D64" s="297"/>
      <c r="F64" s="294"/>
    </row>
    <row r="65" spans="2:6" ht="15.75" thickBot="1">
      <c r="B65" s="443" t="s">
        <v>673</v>
      </c>
      <c r="C65" s="443"/>
      <c r="D65" s="443"/>
      <c r="E65" s="443"/>
      <c r="F65" s="443"/>
    </row>
    <row r="66" spans="2:6">
      <c r="B66" s="186" t="s">
        <v>667</v>
      </c>
      <c r="C66" s="187" t="s">
        <v>457</v>
      </c>
      <c r="D66" s="187" t="s">
        <v>668</v>
      </c>
      <c r="E66" s="187" t="s">
        <v>467</v>
      </c>
      <c r="F66" s="187" t="s">
        <v>614</v>
      </c>
    </row>
    <row r="67" spans="2:6">
      <c r="B67" s="62" t="s">
        <v>527</v>
      </c>
      <c r="C67" s="62" t="s">
        <v>674</v>
      </c>
      <c r="D67" s="62" t="s">
        <v>30</v>
      </c>
      <c r="E67" s="48">
        <v>74883600</v>
      </c>
      <c r="F67" s="48">
        <v>0</v>
      </c>
    </row>
    <row r="68" spans="2:6">
      <c r="B68" s="62" t="s">
        <v>527</v>
      </c>
      <c r="C68" s="62" t="s">
        <v>675</v>
      </c>
      <c r="D68" s="62" t="s">
        <v>30</v>
      </c>
      <c r="E68" s="48">
        <v>755649</v>
      </c>
      <c r="F68" s="48">
        <v>388388</v>
      </c>
    </row>
    <row r="69" spans="2:6">
      <c r="B69" s="62" t="s">
        <v>546</v>
      </c>
      <c r="C69" s="62" t="s">
        <v>675</v>
      </c>
      <c r="D69" s="62" t="s">
        <v>676</v>
      </c>
      <c r="E69" s="48">
        <v>496015</v>
      </c>
      <c r="F69" s="48">
        <v>136726</v>
      </c>
    </row>
    <row r="70" spans="2:6">
      <c r="B70" s="64" t="s">
        <v>200</v>
      </c>
      <c r="C70" s="64"/>
      <c r="D70" s="64"/>
      <c r="E70" s="68">
        <f>SUM(E67:E69)</f>
        <v>76135264</v>
      </c>
      <c r="F70" s="68">
        <f>SUM(F68:F69)</f>
        <v>525114</v>
      </c>
    </row>
    <row r="72" spans="2:6" ht="15.75" thickBot="1">
      <c r="B72" s="443" t="s">
        <v>677</v>
      </c>
      <c r="C72" s="443"/>
      <c r="D72" s="443"/>
      <c r="E72" s="443"/>
      <c r="F72" s="443"/>
    </row>
    <row r="73" spans="2:6">
      <c r="B73" s="186" t="s">
        <v>667</v>
      </c>
      <c r="C73" s="187" t="s">
        <v>457</v>
      </c>
      <c r="D73" s="187" t="s">
        <v>668</v>
      </c>
      <c r="E73" s="187" t="s">
        <v>467</v>
      </c>
      <c r="F73" s="187" t="s">
        <v>614</v>
      </c>
    </row>
    <row r="74" spans="2:6">
      <c r="B74" s="62" t="s">
        <v>527</v>
      </c>
      <c r="C74" s="62" t="s">
        <v>678</v>
      </c>
      <c r="D74" s="62" t="s">
        <v>30</v>
      </c>
      <c r="E74" s="48">
        <v>21818184</v>
      </c>
      <c r="F74" s="48">
        <v>18181820</v>
      </c>
    </row>
    <row r="75" spans="2:6">
      <c r="B75" s="62" t="s">
        <v>546</v>
      </c>
      <c r="C75" s="62" t="s">
        <v>679</v>
      </c>
      <c r="D75" s="62" t="s">
        <v>30</v>
      </c>
      <c r="E75" s="48">
        <v>1948936</v>
      </c>
      <c r="F75" s="48">
        <v>0</v>
      </c>
    </row>
    <row r="76" spans="2:6">
      <c r="B76" s="62" t="s">
        <v>527</v>
      </c>
      <c r="C76" s="62" t="s">
        <v>679</v>
      </c>
      <c r="D76" s="62" t="s">
        <v>30</v>
      </c>
      <c r="E76" s="48"/>
      <c r="F76" s="48">
        <v>10237634</v>
      </c>
    </row>
    <row r="77" spans="2:6">
      <c r="B77" s="62" t="s">
        <v>546</v>
      </c>
      <c r="C77" s="62" t="s">
        <v>678</v>
      </c>
      <c r="D77" s="62" t="s">
        <v>676</v>
      </c>
      <c r="E77" s="48">
        <v>29090911</v>
      </c>
      <c r="F77" s="48">
        <v>12727272</v>
      </c>
    </row>
    <row r="78" spans="2:6">
      <c r="B78" s="62"/>
      <c r="C78" s="62"/>
      <c r="D78" s="62"/>
      <c r="E78" s="48"/>
      <c r="F78" s="48"/>
    </row>
    <row r="79" spans="2:6">
      <c r="B79" s="64" t="s">
        <v>200</v>
      </c>
      <c r="C79" s="64"/>
      <c r="D79" s="64"/>
      <c r="E79" s="68">
        <f>SUM(E74:E78)</f>
        <v>52858031</v>
      </c>
      <c r="F79" s="68">
        <f>SUM(F74:F78)</f>
        <v>41146726</v>
      </c>
    </row>
  </sheetData>
  <mergeCells count="7">
    <mergeCell ref="B65:F65"/>
    <mergeCell ref="B72:F72"/>
    <mergeCell ref="B39:E39"/>
    <mergeCell ref="B3:E3"/>
    <mergeCell ref="B13:D13"/>
    <mergeCell ref="B37:C37"/>
    <mergeCell ref="B53:D53"/>
  </mergeCells>
  <pageMargins left="0.70866141732283472" right="0.70866141732283472" top="1.3385826771653544"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B3:G108"/>
  <sheetViews>
    <sheetView showGridLines="0" zoomScale="102" zoomScaleNormal="102" workbookViewId="0">
      <selection activeCell="C38" sqref="C38"/>
    </sheetView>
  </sheetViews>
  <sheetFormatPr defaultColWidth="11.42578125" defaultRowHeight="12.75"/>
  <cols>
    <col min="1" max="1" width="5.42578125" style="20" customWidth="1"/>
    <col min="2" max="2" width="55.28515625" style="20" bestFit="1" customWidth="1"/>
    <col min="3" max="3" width="19.42578125" style="20" bestFit="1" customWidth="1"/>
    <col min="4" max="4" width="19.7109375" style="20" bestFit="1" customWidth="1"/>
    <col min="5" max="5" width="15.42578125" style="20" customWidth="1"/>
    <col min="6" max="6" width="14.42578125" style="20" customWidth="1"/>
    <col min="7" max="7" width="17.7109375" style="20" bestFit="1" customWidth="1"/>
    <col min="8" max="8" width="19.42578125" style="20" customWidth="1"/>
    <col min="9" max="16384" width="11.42578125" style="20"/>
  </cols>
  <sheetData>
    <row r="3" spans="2:7">
      <c r="B3" s="164" t="s">
        <v>680</v>
      </c>
      <c r="C3" s="164"/>
      <c r="D3" s="164"/>
      <c r="E3" s="164"/>
      <c r="F3" s="164"/>
      <c r="G3" s="19"/>
    </row>
    <row r="4" spans="2:7" ht="13.5" thickBot="1">
      <c r="B4" s="164"/>
      <c r="C4" s="164"/>
      <c r="D4" s="164"/>
      <c r="E4" s="164"/>
      <c r="F4" s="164"/>
      <c r="G4" s="19"/>
    </row>
    <row r="5" spans="2:7" customFormat="1" ht="15">
      <c r="B5" s="186" t="s">
        <v>457</v>
      </c>
      <c r="C5" s="187" t="s">
        <v>467</v>
      </c>
      <c r="D5" s="187" t="s">
        <v>614</v>
      </c>
    </row>
    <row r="6" spans="2:7" customFormat="1" ht="15">
      <c r="B6" s="62" t="s">
        <v>681</v>
      </c>
      <c r="C6" s="48"/>
      <c r="D6" s="63"/>
      <c r="F6" s="16"/>
    </row>
    <row r="7" spans="2:7" customFormat="1" ht="15">
      <c r="B7" s="64" t="s">
        <v>200</v>
      </c>
      <c r="C7" s="68">
        <f>SUM(C6:C6)</f>
        <v>0</v>
      </c>
      <c r="D7" s="68">
        <f>SUM(D6:D6)</f>
        <v>0</v>
      </c>
      <c r="E7" s="18"/>
      <c r="F7" s="17"/>
    </row>
    <row r="8" spans="2:7">
      <c r="B8" s="438"/>
      <c r="C8" s="438"/>
      <c r="D8" s="438"/>
      <c r="E8" s="438"/>
      <c r="F8" s="158"/>
    </row>
    <row r="9" spans="2:7">
      <c r="B9" s="158"/>
      <c r="C9" s="167"/>
      <c r="D9" s="158"/>
      <c r="E9" s="158"/>
      <c r="F9" s="158"/>
    </row>
    <row r="10" spans="2:7">
      <c r="B10" s="430" t="s">
        <v>682</v>
      </c>
      <c r="C10" s="430"/>
      <c r="D10" s="430"/>
      <c r="E10" s="430"/>
      <c r="F10" s="430"/>
    </row>
    <row r="11" spans="2:7" ht="30" customHeight="1">
      <c r="B11" s="183" t="s">
        <v>457</v>
      </c>
      <c r="C11" s="183" t="s">
        <v>683</v>
      </c>
      <c r="D11" s="183" t="s">
        <v>576</v>
      </c>
      <c r="E11" s="183" t="s">
        <v>684</v>
      </c>
      <c r="F11" s="183" t="s">
        <v>685</v>
      </c>
    </row>
    <row r="12" spans="2:7">
      <c r="B12" s="258" t="s">
        <v>267</v>
      </c>
      <c r="C12" s="57">
        <v>3332300000</v>
      </c>
      <c r="D12" s="57"/>
      <c r="E12" s="57"/>
      <c r="F12" s="57">
        <f>SUM(C12:E12)</f>
        <v>3332300000</v>
      </c>
      <c r="G12" s="21"/>
    </row>
    <row r="13" spans="2:7">
      <c r="B13" s="258" t="s">
        <v>686</v>
      </c>
      <c r="C13" s="57">
        <v>700000000</v>
      </c>
      <c r="D13" s="57">
        <v>102000000</v>
      </c>
      <c r="E13" s="57"/>
      <c r="F13" s="57">
        <f t="shared" ref="F13:F18" si="0">SUM(C13:E13)</f>
        <v>802000000</v>
      </c>
      <c r="G13" s="21"/>
    </row>
    <row r="14" spans="2:7">
      <c r="B14" s="258" t="s">
        <v>687</v>
      </c>
      <c r="C14" s="57">
        <v>9484301</v>
      </c>
      <c r="D14" s="57">
        <v>415997</v>
      </c>
      <c r="E14" s="57"/>
      <c r="F14" s="57">
        <f t="shared" si="0"/>
        <v>9900298</v>
      </c>
      <c r="G14" s="21"/>
    </row>
    <row r="15" spans="2:7">
      <c r="B15" s="258" t="s">
        <v>688</v>
      </c>
      <c r="C15" s="57">
        <v>7000000</v>
      </c>
      <c r="D15" s="57">
        <v>217610438</v>
      </c>
      <c r="E15" s="57"/>
      <c r="F15" s="57">
        <f t="shared" si="0"/>
        <v>224610438</v>
      </c>
      <c r="G15" s="21"/>
    </row>
    <row r="16" spans="2:7">
      <c r="B16" s="258" t="s">
        <v>358</v>
      </c>
      <c r="C16" s="57">
        <v>169574314</v>
      </c>
      <c r="D16" s="57">
        <v>13849891</v>
      </c>
      <c r="E16" s="57">
        <v>-21010437</v>
      </c>
      <c r="F16" s="57">
        <f t="shared" si="0"/>
        <v>162413768</v>
      </c>
      <c r="G16" s="21"/>
    </row>
    <row r="17" spans="2:7">
      <c r="B17" s="258" t="s">
        <v>278</v>
      </c>
      <c r="C17" s="57">
        <v>-1528230865</v>
      </c>
      <c r="D17" s="57">
        <v>126030604</v>
      </c>
      <c r="E17" s="57">
        <f>-D17</f>
        <v>-126030604</v>
      </c>
      <c r="F17" s="57">
        <f t="shared" si="0"/>
        <v>-1528230865</v>
      </c>
      <c r="G17" s="21"/>
    </row>
    <row r="18" spans="2:7">
      <c r="B18" s="258" t="s">
        <v>689</v>
      </c>
      <c r="C18" s="57">
        <v>126030604</v>
      </c>
      <c r="D18" s="57">
        <v>263041965</v>
      </c>
      <c r="E18" s="57">
        <v>-126030604</v>
      </c>
      <c r="F18" s="57">
        <f t="shared" si="0"/>
        <v>263041965</v>
      </c>
      <c r="G18" s="21"/>
    </row>
    <row r="19" spans="2:7">
      <c r="B19" s="59" t="s">
        <v>690</v>
      </c>
      <c r="C19" s="60">
        <f>SUM(C12:C18)</f>
        <v>2816158354</v>
      </c>
      <c r="D19" s="60">
        <f>SUM(D12:D18)</f>
        <v>722948895</v>
      </c>
      <c r="E19" s="60">
        <f>SUM(E12:E18)</f>
        <v>-273071645</v>
      </c>
      <c r="F19" s="60">
        <f>SUM(F12:F18)</f>
        <v>3266035604</v>
      </c>
    </row>
    <row r="20" spans="2:7">
      <c r="B20" s="162" t="s">
        <v>691</v>
      </c>
      <c r="C20" s="158"/>
      <c r="D20" s="158"/>
      <c r="E20" s="158"/>
      <c r="F20" s="158"/>
    </row>
    <row r="21" spans="2:7">
      <c r="B21" s="159" t="s">
        <v>655</v>
      </c>
      <c r="C21" s="158"/>
      <c r="D21" s="158"/>
      <c r="E21" s="158"/>
      <c r="F21" s="158"/>
    </row>
    <row r="22" spans="2:7">
      <c r="B22" s="158"/>
      <c r="C22" s="158"/>
      <c r="D22" s="158"/>
      <c r="E22" s="158"/>
      <c r="F22" s="158"/>
    </row>
    <row r="23" spans="2:7">
      <c r="B23" s="430" t="s">
        <v>692</v>
      </c>
      <c r="C23" s="430"/>
      <c r="D23" s="430"/>
      <c r="E23" s="430"/>
      <c r="F23" s="430"/>
    </row>
    <row r="24" spans="2:7">
      <c r="B24" s="162" t="s">
        <v>693</v>
      </c>
      <c r="C24" s="158"/>
      <c r="D24" s="158"/>
      <c r="E24" s="158"/>
      <c r="F24" s="158"/>
    </row>
    <row r="25" spans="2:7">
      <c r="B25" s="433" t="s">
        <v>457</v>
      </c>
      <c r="C25" s="184" t="s">
        <v>694</v>
      </c>
      <c r="D25" s="184" t="s">
        <v>695</v>
      </c>
      <c r="E25" s="158"/>
      <c r="F25" s="158"/>
    </row>
    <row r="26" spans="2:7">
      <c r="B26" s="433"/>
      <c r="C26" s="184" t="s">
        <v>696</v>
      </c>
      <c r="D26" s="184" t="s">
        <v>697</v>
      </c>
      <c r="E26" s="158"/>
      <c r="F26" s="158"/>
    </row>
    <row r="27" spans="2:7">
      <c r="B27" s="201" t="s">
        <v>527</v>
      </c>
      <c r="C27" s="202">
        <v>755649</v>
      </c>
      <c r="D27" s="202">
        <v>351542</v>
      </c>
      <c r="E27" s="158"/>
      <c r="F27" s="158"/>
    </row>
    <row r="28" spans="2:7">
      <c r="B28" s="201" t="s">
        <v>546</v>
      </c>
      <c r="C28" s="202">
        <v>496015</v>
      </c>
      <c r="D28" s="202">
        <v>100944</v>
      </c>
      <c r="E28" s="158"/>
      <c r="F28" s="158"/>
    </row>
    <row r="29" spans="2:7">
      <c r="B29" s="143" t="s">
        <v>200</v>
      </c>
      <c r="C29" s="203">
        <f>SUM(C27:C28)</f>
        <v>1251664</v>
      </c>
      <c r="D29" s="203">
        <f>SUM(D27:D28)</f>
        <v>452486</v>
      </c>
      <c r="E29" s="158"/>
      <c r="F29" s="158"/>
    </row>
    <row r="30" spans="2:7">
      <c r="B30" s="160"/>
      <c r="C30" s="158"/>
      <c r="D30" s="158"/>
      <c r="E30" s="158"/>
      <c r="F30" s="158"/>
    </row>
    <row r="31" spans="2:7">
      <c r="B31" s="158"/>
      <c r="C31" s="158"/>
      <c r="D31" s="158"/>
      <c r="E31" s="158"/>
      <c r="F31" s="158"/>
    </row>
    <row r="32" spans="2:7">
      <c r="B32" s="161" t="s">
        <v>698</v>
      </c>
      <c r="C32" s="158"/>
      <c r="D32" s="158"/>
      <c r="E32" s="158"/>
      <c r="F32" s="158"/>
    </row>
    <row r="33" spans="2:6">
      <c r="B33" s="160" t="s">
        <v>481</v>
      </c>
      <c r="C33" s="158"/>
      <c r="D33" s="158"/>
      <c r="E33" s="158"/>
      <c r="F33" s="158"/>
    </row>
    <row r="34" spans="2:6">
      <c r="B34" s="433" t="s">
        <v>457</v>
      </c>
      <c r="C34" s="184" t="s">
        <v>694</v>
      </c>
      <c r="D34" s="184" t="s">
        <v>695</v>
      </c>
    </row>
    <row r="35" spans="2:6">
      <c r="B35" s="433"/>
      <c r="C35" s="184" t="s">
        <v>696</v>
      </c>
      <c r="D35" s="184" t="s">
        <v>697</v>
      </c>
    </row>
    <row r="36" spans="2:6">
      <c r="B36" s="62" t="s">
        <v>699</v>
      </c>
      <c r="C36" s="48">
        <v>125107143</v>
      </c>
      <c r="D36" s="48">
        <v>123590102</v>
      </c>
      <c r="E36" s="40"/>
      <c r="F36" s="22"/>
    </row>
    <row r="37" spans="2:6">
      <c r="B37" s="62" t="s">
        <v>700</v>
      </c>
      <c r="C37" s="48">
        <f>87208440-50570205</f>
        <v>36638235</v>
      </c>
      <c r="D37" s="48">
        <v>59132696</v>
      </c>
      <c r="F37" s="22"/>
    </row>
    <row r="38" spans="2:6">
      <c r="B38" s="62" t="s">
        <v>701</v>
      </c>
      <c r="C38" s="48">
        <v>95980464</v>
      </c>
      <c r="D38" s="48">
        <v>150470921</v>
      </c>
      <c r="E38" s="40"/>
      <c r="F38" s="22"/>
    </row>
    <row r="39" spans="2:6">
      <c r="B39" s="62" t="s">
        <v>702</v>
      </c>
      <c r="C39" s="48">
        <v>385725157</v>
      </c>
      <c r="D39" s="48">
        <v>52881799</v>
      </c>
      <c r="F39" s="22"/>
    </row>
    <row r="40" spans="2:6">
      <c r="B40" s="62" t="s">
        <v>703</v>
      </c>
      <c r="C40" s="48">
        <v>175106786</v>
      </c>
      <c r="D40" s="48">
        <v>8111580</v>
      </c>
      <c r="F40" s="22"/>
    </row>
    <row r="41" spans="2:6">
      <c r="B41" s="62" t="s">
        <v>704</v>
      </c>
      <c r="C41" s="48">
        <f>66628526+1079749+67543</f>
        <v>67775818</v>
      </c>
      <c r="D41" s="48">
        <v>41793753</v>
      </c>
      <c r="F41" s="22"/>
    </row>
    <row r="42" spans="2:6">
      <c r="B42" s="64" t="s">
        <v>200</v>
      </c>
      <c r="C42" s="68">
        <f>SUM(C36:C41)</f>
        <v>886333603</v>
      </c>
      <c r="D42" s="68">
        <f>SUM(D36:D41)</f>
        <v>435980851</v>
      </c>
      <c r="F42" s="23"/>
    </row>
    <row r="45" spans="2:6">
      <c r="B45" s="162" t="s">
        <v>705</v>
      </c>
    </row>
    <row r="46" spans="2:6">
      <c r="B46" s="157" t="s">
        <v>706</v>
      </c>
    </row>
    <row r="47" spans="2:6">
      <c r="B47" s="159" t="s">
        <v>481</v>
      </c>
    </row>
    <row r="48" spans="2:6">
      <c r="B48" s="417" t="s">
        <v>707</v>
      </c>
      <c r="C48" s="183" t="s">
        <v>708</v>
      </c>
      <c r="D48" s="185" t="s">
        <v>709</v>
      </c>
    </row>
    <row r="49" spans="2:6">
      <c r="B49" s="417"/>
      <c r="C49" s="183" t="s">
        <v>429</v>
      </c>
      <c r="D49" s="185" t="s">
        <v>710</v>
      </c>
    </row>
    <row r="50" spans="2:6">
      <c r="B50" s="65" t="s">
        <v>711</v>
      </c>
      <c r="C50" s="61">
        <v>43341893</v>
      </c>
      <c r="D50" s="61">
        <v>84276615</v>
      </c>
      <c r="F50" s="24"/>
    </row>
    <row r="51" spans="2:6">
      <c r="B51" s="65" t="s">
        <v>712</v>
      </c>
      <c r="C51" s="61">
        <v>7496698</v>
      </c>
      <c r="D51" s="61">
        <v>9447204</v>
      </c>
      <c r="F51" s="24"/>
    </row>
    <row r="52" spans="2:6">
      <c r="B52" s="65" t="s">
        <v>713</v>
      </c>
      <c r="C52" s="61">
        <v>41406000</v>
      </c>
      <c r="D52" s="61">
        <v>0</v>
      </c>
      <c r="F52" s="24"/>
    </row>
    <row r="53" spans="2:6">
      <c r="B53" s="65" t="s">
        <v>714</v>
      </c>
      <c r="C53" s="61">
        <v>2641530</v>
      </c>
      <c r="D53" s="61">
        <v>0</v>
      </c>
      <c r="F53" s="24"/>
    </row>
    <row r="54" spans="2:6">
      <c r="B54" s="66" t="s">
        <v>690</v>
      </c>
      <c r="C54" s="67">
        <f>SUM(C50:C53)</f>
        <v>94886121</v>
      </c>
      <c r="D54" s="67">
        <f>SUM(D50:D53)</f>
        <v>93723819</v>
      </c>
      <c r="F54" s="25"/>
    </row>
    <row r="56" spans="2:6">
      <c r="B56" s="235" t="s">
        <v>715</v>
      </c>
    </row>
    <row r="57" spans="2:6" ht="13.5" thickBot="1">
      <c r="B57" s="236" t="s">
        <v>481</v>
      </c>
    </row>
    <row r="58" spans="2:6">
      <c r="B58" s="445" t="s">
        <v>707</v>
      </c>
      <c r="C58" s="243" t="s">
        <v>708</v>
      </c>
      <c r="D58" s="244" t="s">
        <v>709</v>
      </c>
    </row>
    <row r="59" spans="2:6" ht="13.5" thickBot="1">
      <c r="B59" s="446"/>
      <c r="C59" s="245" t="s">
        <v>429</v>
      </c>
      <c r="D59" s="246" t="s">
        <v>710</v>
      </c>
    </row>
    <row r="60" spans="2:6" ht="13.5" thickBot="1">
      <c r="B60" s="237" t="s">
        <v>716</v>
      </c>
      <c r="C60" s="241">
        <v>0</v>
      </c>
      <c r="D60" s="241">
        <v>0</v>
      </c>
      <c r="F60" s="25"/>
    </row>
    <row r="61" spans="2:6" ht="13.5" thickBot="1">
      <c r="B61" s="237" t="s">
        <v>717</v>
      </c>
      <c r="C61" s="241">
        <v>0</v>
      </c>
      <c r="D61" s="241">
        <v>0</v>
      </c>
      <c r="F61" s="24"/>
    </row>
    <row r="62" spans="2:6" ht="13.5" thickBot="1">
      <c r="B62" s="237" t="s">
        <v>718</v>
      </c>
      <c r="C62" s="241">
        <v>0</v>
      </c>
      <c r="D62" s="241">
        <v>0</v>
      </c>
      <c r="F62" s="25"/>
    </row>
    <row r="63" spans="2:6" ht="13.5" thickBot="1">
      <c r="B63" s="238" t="s">
        <v>690</v>
      </c>
      <c r="C63" s="241">
        <v>0</v>
      </c>
      <c r="D63" s="241">
        <v>0</v>
      </c>
      <c r="F63" s="25"/>
    </row>
    <row r="64" spans="2:6">
      <c r="B64" s="239"/>
      <c r="C64" s="242"/>
      <c r="D64" s="240"/>
      <c r="F64" s="25"/>
    </row>
    <row r="65" spans="2:7">
      <c r="B65" s="157" t="s">
        <v>719</v>
      </c>
    </row>
    <row r="66" spans="2:7">
      <c r="B66" s="159" t="s">
        <v>481</v>
      </c>
    </row>
    <row r="67" spans="2:7">
      <c r="B67" s="417" t="s">
        <v>707</v>
      </c>
      <c r="C67" s="183" t="s">
        <v>708</v>
      </c>
      <c r="D67" s="185" t="s">
        <v>709</v>
      </c>
    </row>
    <row r="68" spans="2:7">
      <c r="B68" s="417"/>
      <c r="C68" s="183" t="s">
        <v>429</v>
      </c>
      <c r="D68" s="185" t="s">
        <v>710</v>
      </c>
    </row>
    <row r="69" spans="2:7">
      <c r="B69" s="65" t="s">
        <v>720</v>
      </c>
      <c r="C69" s="61">
        <v>1320000</v>
      </c>
      <c r="D69" s="61">
        <v>598636</v>
      </c>
    </row>
    <row r="70" spans="2:7">
      <c r="B70" s="65" t="s">
        <v>721</v>
      </c>
      <c r="C70" s="61">
        <v>17988778</v>
      </c>
      <c r="D70" s="61">
        <v>15052954</v>
      </c>
    </row>
    <row r="71" spans="2:7">
      <c r="B71" s="65" t="s">
        <v>722</v>
      </c>
      <c r="C71" s="61">
        <v>177394000</v>
      </c>
      <c r="D71" s="61">
        <v>323849432</v>
      </c>
    </row>
    <row r="72" spans="2:7">
      <c r="B72" s="65" t="s">
        <v>723</v>
      </c>
      <c r="C72" s="61">
        <v>0</v>
      </c>
      <c r="D72" s="61">
        <v>0</v>
      </c>
    </row>
    <row r="73" spans="2:7">
      <c r="B73" s="66" t="s">
        <v>690</v>
      </c>
      <c r="C73" s="67">
        <f>SUM(C69:C72)</f>
        <v>196702778</v>
      </c>
      <c r="D73" s="67">
        <f>SUM(D69:D72)</f>
        <v>339501022</v>
      </c>
    </row>
    <row r="76" spans="2:7">
      <c r="B76" s="157" t="s">
        <v>724</v>
      </c>
    </row>
    <row r="77" spans="2:7">
      <c r="B77" s="159" t="s">
        <v>481</v>
      </c>
      <c r="G77" s="38"/>
    </row>
    <row r="78" spans="2:7">
      <c r="B78" s="417" t="s">
        <v>707</v>
      </c>
      <c r="C78" s="183" t="s">
        <v>708</v>
      </c>
      <c r="D78" s="185" t="s">
        <v>709</v>
      </c>
      <c r="G78" s="38"/>
    </row>
    <row r="79" spans="2:7">
      <c r="B79" s="417"/>
      <c r="C79" s="183" t="s">
        <v>429</v>
      </c>
      <c r="D79" s="185" t="s">
        <v>710</v>
      </c>
      <c r="G79" s="38"/>
    </row>
    <row r="80" spans="2:7">
      <c r="B80" s="62" t="s">
        <v>725</v>
      </c>
      <c r="C80" s="48">
        <v>0</v>
      </c>
      <c r="D80" s="48">
        <v>247505866</v>
      </c>
      <c r="G80" s="38"/>
    </row>
    <row r="81" spans="2:7">
      <c r="B81" s="62" t="s">
        <v>726</v>
      </c>
      <c r="C81" s="48">
        <v>39164832</v>
      </c>
      <c r="D81" s="48">
        <v>40854245</v>
      </c>
      <c r="G81" s="38"/>
    </row>
    <row r="82" spans="2:7">
      <c r="B82" s="62" t="s">
        <v>727</v>
      </c>
      <c r="C82" s="48">
        <v>23790220</v>
      </c>
      <c r="D82" s="48">
        <v>26290143</v>
      </c>
      <c r="G82" s="38"/>
    </row>
    <row r="83" spans="2:7">
      <c r="B83" s="62" t="s">
        <v>728</v>
      </c>
      <c r="C83" s="48">
        <v>0</v>
      </c>
      <c r="D83" s="48">
        <v>0</v>
      </c>
      <c r="G83" s="38"/>
    </row>
    <row r="84" spans="2:7">
      <c r="B84" s="62" t="s">
        <v>729</v>
      </c>
      <c r="C84" s="48">
        <v>0</v>
      </c>
      <c r="D84" s="48">
        <v>0</v>
      </c>
    </row>
    <row r="85" spans="2:7">
      <c r="B85" s="62" t="s">
        <v>730</v>
      </c>
      <c r="C85" s="48">
        <v>21818184</v>
      </c>
      <c r="D85" s="48">
        <v>40000002</v>
      </c>
    </row>
    <row r="86" spans="2:7">
      <c r="B86" s="62" t="s">
        <v>731</v>
      </c>
      <c r="C86" s="48">
        <v>317872393</v>
      </c>
      <c r="D86" s="48">
        <v>189083889</v>
      </c>
    </row>
    <row r="87" spans="2:7">
      <c r="B87" s="62" t="s">
        <v>732</v>
      </c>
      <c r="C87" s="48">
        <v>0</v>
      </c>
      <c r="D87" s="48">
        <f>752727+20000</f>
        <v>772727</v>
      </c>
    </row>
    <row r="88" spans="2:7">
      <c r="B88" s="62" t="s">
        <v>733</v>
      </c>
      <c r="C88" s="48">
        <v>0</v>
      </c>
      <c r="D88" s="48">
        <v>0</v>
      </c>
    </row>
    <row r="89" spans="2:7">
      <c r="B89" s="62" t="s">
        <v>734</v>
      </c>
      <c r="C89" s="48">
        <v>0</v>
      </c>
      <c r="D89" s="48">
        <v>0</v>
      </c>
      <c r="F89" s="41"/>
    </row>
    <row r="90" spans="2:7">
      <c r="B90" s="62" t="s">
        <v>735</v>
      </c>
      <c r="C90" s="48">
        <f>54363641+954548</f>
        <v>55318189</v>
      </c>
      <c r="D90" s="48">
        <v>63109090</v>
      </c>
    </row>
    <row r="91" spans="2:7">
      <c r="B91" s="62" t="s">
        <v>736</v>
      </c>
      <c r="C91" s="48">
        <v>9069699</v>
      </c>
      <c r="D91" s="48">
        <v>11724361</v>
      </c>
    </row>
    <row r="92" spans="2:7">
      <c r="B92" s="62" t="s">
        <v>737</v>
      </c>
      <c r="C92" s="48">
        <v>5004491</v>
      </c>
      <c r="D92" s="48">
        <v>0</v>
      </c>
    </row>
    <row r="93" spans="2:7">
      <c r="B93" s="62" t="s">
        <v>738</v>
      </c>
      <c r="C93" s="48">
        <v>845117</v>
      </c>
      <c r="D93" s="48">
        <v>1197688</v>
      </c>
    </row>
    <row r="94" spans="2:7">
      <c r="B94" s="62" t="s">
        <v>739</v>
      </c>
      <c r="C94" s="48">
        <v>1395455</v>
      </c>
      <c r="D94" s="48">
        <v>13562227</v>
      </c>
    </row>
    <row r="95" spans="2:7">
      <c r="B95" s="62" t="s">
        <v>740</v>
      </c>
      <c r="C95" s="48">
        <v>0</v>
      </c>
      <c r="D95" s="48">
        <v>0</v>
      </c>
    </row>
    <row r="96" spans="2:7">
      <c r="B96" s="62" t="s">
        <v>741</v>
      </c>
      <c r="C96" s="48">
        <v>6398120</v>
      </c>
      <c r="D96" s="48">
        <v>0</v>
      </c>
    </row>
    <row r="97" spans="2:4">
      <c r="B97" s="62" t="s">
        <v>742</v>
      </c>
      <c r="C97" s="48">
        <v>1080000</v>
      </c>
      <c r="D97" s="48">
        <v>2109090</v>
      </c>
    </row>
    <row r="98" spans="2:4">
      <c r="B98" s="62" t="s">
        <v>743</v>
      </c>
      <c r="C98" s="48">
        <v>5902274</v>
      </c>
      <c r="D98" s="48">
        <v>85875100</v>
      </c>
    </row>
    <row r="99" spans="2:4">
      <c r="B99" s="62" t="s">
        <v>744</v>
      </c>
      <c r="C99" s="48">
        <v>11106758</v>
      </c>
      <c r="D99" s="48"/>
    </row>
    <row r="100" spans="2:4">
      <c r="B100" s="62" t="s">
        <v>745</v>
      </c>
      <c r="C100" s="48">
        <v>0</v>
      </c>
      <c r="D100" s="48">
        <v>0</v>
      </c>
    </row>
    <row r="101" spans="2:4">
      <c r="B101" s="62" t="s">
        <v>746</v>
      </c>
      <c r="C101" s="48">
        <v>0</v>
      </c>
      <c r="D101" s="48">
        <v>0</v>
      </c>
    </row>
    <row r="102" spans="2:4">
      <c r="B102" s="62" t="s">
        <v>747</v>
      </c>
      <c r="C102" s="48">
        <v>46517327</v>
      </c>
      <c r="D102" s="48">
        <v>30311826</v>
      </c>
    </row>
    <row r="103" spans="2:4">
      <c r="B103" s="62" t="s">
        <v>748</v>
      </c>
      <c r="C103" s="48">
        <v>0</v>
      </c>
      <c r="D103" s="48">
        <v>1583592</v>
      </c>
    </row>
    <row r="104" spans="2:4">
      <c r="B104" s="64" t="s">
        <v>690</v>
      </c>
      <c r="C104" s="68">
        <f>SUM(C80:C103)</f>
        <v>545283059</v>
      </c>
      <c r="D104" s="68">
        <f>SUM(D80:D103)</f>
        <v>753979846</v>
      </c>
    </row>
    <row r="105" spans="2:4">
      <c r="B105" s="26"/>
      <c r="C105" s="17"/>
      <c r="D105" s="17"/>
    </row>
    <row r="106" spans="2:4">
      <c r="B106" s="26"/>
      <c r="C106" s="131"/>
      <c r="D106" s="17"/>
    </row>
    <row r="107" spans="2:4">
      <c r="B107" s="26"/>
      <c r="C107" s="17"/>
      <c r="D107" s="17"/>
    </row>
    <row r="108" spans="2:4">
      <c r="B108" s="26"/>
      <c r="C108" s="17"/>
      <c r="D108" s="17"/>
    </row>
  </sheetData>
  <mergeCells count="9">
    <mergeCell ref="B67:B68"/>
    <mergeCell ref="B78:B79"/>
    <mergeCell ref="B8:E8"/>
    <mergeCell ref="B10:F10"/>
    <mergeCell ref="B23:F23"/>
    <mergeCell ref="B34:B35"/>
    <mergeCell ref="B48:B49"/>
    <mergeCell ref="B25:B26"/>
    <mergeCell ref="B58:B59"/>
  </mergeCells>
  <pageMargins left="0.70866141732283472" right="0.70866141732283472" top="1.3385826771653544" bottom="0.74803149606299213" header="0.31496062992125984" footer="0.31496062992125984"/>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pageSetUpPr fitToPage="1"/>
  </sheetPr>
  <dimension ref="B3:F40"/>
  <sheetViews>
    <sheetView showGridLines="0" topLeftCell="A28" zoomScale="102" zoomScaleNormal="102" workbookViewId="0">
      <selection activeCell="C34" sqref="C34"/>
    </sheetView>
  </sheetViews>
  <sheetFormatPr defaultColWidth="10.7109375" defaultRowHeight="15"/>
  <cols>
    <col min="1" max="1" width="4.7109375" customWidth="1"/>
    <col min="2" max="2" width="39.42578125" customWidth="1"/>
    <col min="3" max="3" width="20.42578125" customWidth="1"/>
    <col min="4" max="4" width="23" customWidth="1"/>
    <col min="5" max="5" width="16.28515625" customWidth="1"/>
    <col min="8" max="8" width="16.42578125" customWidth="1"/>
    <col min="9" max="9" width="15.42578125" customWidth="1"/>
  </cols>
  <sheetData>
    <row r="3" spans="2:6">
      <c r="B3" s="439" t="s">
        <v>749</v>
      </c>
      <c r="C3" s="439"/>
      <c r="D3" s="439"/>
      <c r="E3" s="439"/>
      <c r="F3" s="439"/>
    </row>
    <row r="4" spans="2:6">
      <c r="B4" s="438" t="s">
        <v>481</v>
      </c>
      <c r="C4" s="438"/>
      <c r="D4" s="438"/>
      <c r="E4" s="438"/>
      <c r="F4" s="438"/>
    </row>
    <row r="5" spans="2:6">
      <c r="B5" s="166" t="s">
        <v>750</v>
      </c>
      <c r="C5" s="166"/>
      <c r="D5" s="166"/>
      <c r="E5" s="164"/>
      <c r="F5" s="158"/>
    </row>
    <row r="6" spans="2:6">
      <c r="B6" s="148"/>
      <c r="C6" s="148"/>
      <c r="D6" s="148"/>
      <c r="E6" s="51"/>
    </row>
    <row r="7" spans="2:6" ht="25.35" customHeight="1">
      <c r="B7" s="180" t="s">
        <v>707</v>
      </c>
      <c r="C7" s="181" t="s">
        <v>604</v>
      </c>
      <c r="D7" s="181" t="s">
        <v>751</v>
      </c>
    </row>
    <row r="8" spans="2:6">
      <c r="B8" s="149" t="s">
        <v>752</v>
      </c>
      <c r="C8" s="150">
        <v>83632573</v>
      </c>
      <c r="D8" s="150">
        <v>2342525</v>
      </c>
    </row>
    <row r="9" spans="2:6">
      <c r="B9" s="149" t="s">
        <v>753</v>
      </c>
      <c r="C9" s="150">
        <v>23847293</v>
      </c>
      <c r="D9" s="150">
        <v>55059215</v>
      </c>
    </row>
    <row r="10" spans="2:6">
      <c r="B10" s="149" t="s">
        <v>754</v>
      </c>
      <c r="C10" s="150">
        <v>22605145</v>
      </c>
      <c r="D10" s="150">
        <v>164473855</v>
      </c>
    </row>
    <row r="11" spans="2:6">
      <c r="B11" s="149" t="s">
        <v>755</v>
      </c>
      <c r="C11" s="150">
        <v>50736190</v>
      </c>
      <c r="D11" s="150"/>
    </row>
    <row r="12" spans="2:6">
      <c r="B12" s="149"/>
      <c r="C12" s="150"/>
      <c r="D12" s="150"/>
    </row>
    <row r="13" spans="2:6">
      <c r="B13" s="151" t="s">
        <v>756</v>
      </c>
      <c r="C13" s="152">
        <f>SUM(C8:C12)</f>
        <v>180821201</v>
      </c>
      <c r="D13" s="152">
        <f>SUM(D8:D12)</f>
        <v>221875595</v>
      </c>
    </row>
    <row r="14" spans="2:6">
      <c r="B14" s="27"/>
      <c r="C14" s="27"/>
      <c r="D14" s="27"/>
    </row>
    <row r="15" spans="2:6">
      <c r="B15" s="142" t="s">
        <v>757</v>
      </c>
      <c r="C15" s="27"/>
      <c r="D15" s="27"/>
    </row>
    <row r="16" spans="2:6" ht="30">
      <c r="B16" s="180" t="s">
        <v>707</v>
      </c>
      <c r="C16" s="181" t="s">
        <v>604</v>
      </c>
      <c r="D16" s="181" t="s">
        <v>751</v>
      </c>
    </row>
    <row r="17" spans="2:6">
      <c r="B17" s="153" t="s">
        <v>572</v>
      </c>
      <c r="C17" s="154">
        <v>0</v>
      </c>
      <c r="D17" s="154"/>
    </row>
    <row r="18" spans="2:6">
      <c r="B18" s="151" t="s">
        <v>756</v>
      </c>
      <c r="C18" s="155">
        <v>0</v>
      </c>
      <c r="D18" s="155">
        <v>0</v>
      </c>
    </row>
    <row r="20" spans="2:6">
      <c r="B20" s="162" t="s">
        <v>758</v>
      </c>
      <c r="C20" s="158"/>
      <c r="D20" s="158"/>
      <c r="E20" s="158"/>
      <c r="F20" s="158"/>
    </row>
    <row r="21" spans="2:6">
      <c r="B21" s="438" t="s">
        <v>481</v>
      </c>
      <c r="C21" s="438"/>
      <c r="D21" s="438"/>
      <c r="E21" s="438"/>
      <c r="F21" s="438"/>
    </row>
    <row r="23" spans="2:6">
      <c r="B23" s="157" t="s">
        <v>759</v>
      </c>
    </row>
    <row r="24" spans="2:6" ht="30">
      <c r="B24" s="180" t="s">
        <v>707</v>
      </c>
      <c r="C24" s="181" t="s">
        <v>604</v>
      </c>
      <c r="D24" s="181" t="s">
        <v>751</v>
      </c>
    </row>
    <row r="25" spans="2:6">
      <c r="B25" s="52" t="s">
        <v>760</v>
      </c>
      <c r="C25" s="132">
        <v>676468</v>
      </c>
      <c r="D25" s="132">
        <v>190754</v>
      </c>
    </row>
    <row r="26" spans="2:6">
      <c r="B26" s="52" t="s">
        <v>761</v>
      </c>
      <c r="C26" s="132">
        <v>26732077</v>
      </c>
      <c r="D26" s="132">
        <v>12827970</v>
      </c>
    </row>
    <row r="27" spans="2:6">
      <c r="B27" s="257" t="s">
        <v>762</v>
      </c>
      <c r="C27" s="132">
        <v>37488028</v>
      </c>
      <c r="D27" s="132">
        <v>16573336</v>
      </c>
    </row>
    <row r="28" spans="2:6">
      <c r="B28" s="257" t="s">
        <v>763</v>
      </c>
      <c r="C28" s="132">
        <v>-3735058</v>
      </c>
      <c r="D28" s="132">
        <v>78895959</v>
      </c>
    </row>
    <row r="29" spans="2:6">
      <c r="B29" s="52"/>
      <c r="C29" s="132"/>
      <c r="D29" s="132"/>
    </row>
    <row r="30" spans="2:6">
      <c r="B30" s="53" t="s">
        <v>756</v>
      </c>
      <c r="C30" s="54">
        <f>SUM(C25:C29)</f>
        <v>61161515</v>
      </c>
      <c r="D30" s="54">
        <f>SUM(D25:D29)</f>
        <v>108488019</v>
      </c>
    </row>
    <row r="32" spans="2:6">
      <c r="B32" s="157" t="s">
        <v>764</v>
      </c>
    </row>
    <row r="33" spans="2:4" ht="25.5">
      <c r="B33" s="182" t="s">
        <v>707</v>
      </c>
      <c r="C33" s="183" t="s">
        <v>604</v>
      </c>
      <c r="D33" s="183" t="s">
        <v>751</v>
      </c>
    </row>
    <row r="34" spans="2:4">
      <c r="B34" s="56" t="s">
        <v>765</v>
      </c>
      <c r="C34" s="57">
        <v>12701645</v>
      </c>
      <c r="D34" s="57">
        <v>29401237</v>
      </c>
    </row>
    <row r="35" spans="2:4">
      <c r="B35" s="56" t="s">
        <v>766</v>
      </c>
      <c r="C35" s="57"/>
      <c r="D35" s="57"/>
    </row>
    <row r="36" spans="2:4">
      <c r="B36" s="56"/>
      <c r="C36" s="58"/>
      <c r="D36" s="58"/>
    </row>
    <row r="37" spans="2:4">
      <c r="B37" s="59" t="s">
        <v>756</v>
      </c>
      <c r="C37" s="60">
        <f>SUM(C34:C36)</f>
        <v>12701645</v>
      </c>
      <c r="D37" s="60">
        <f>SUM(D34:D36)</f>
        <v>29401237</v>
      </c>
    </row>
    <row r="39" spans="2:4">
      <c r="B39" s="157" t="s">
        <v>767</v>
      </c>
    </row>
    <row r="40" spans="2:4">
      <c r="B40" s="159" t="s">
        <v>768</v>
      </c>
    </row>
  </sheetData>
  <mergeCells count="3">
    <mergeCell ref="B3:F3"/>
    <mergeCell ref="B4:F4"/>
    <mergeCell ref="B21:F21"/>
  </mergeCells>
  <pageMargins left="0.70866141732283472" right="0.70866141732283472" top="1.1417322834645669" bottom="0.74803149606299213" header="0.31496062992125984" footer="0.31496062992125984"/>
  <pageSetup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B2:E38"/>
  <sheetViews>
    <sheetView showGridLines="0" zoomScale="99" zoomScaleNormal="99" workbookViewId="0">
      <selection activeCell="A10" sqref="A10"/>
    </sheetView>
  </sheetViews>
  <sheetFormatPr defaultColWidth="10.7109375" defaultRowHeight="15"/>
  <cols>
    <col min="1" max="1" width="5" customWidth="1"/>
    <col min="2" max="2" width="3.28515625" style="99" customWidth="1"/>
    <col min="3" max="3" width="92.42578125" customWidth="1"/>
    <col min="4" max="4" width="42.7109375" bestFit="1" customWidth="1"/>
    <col min="5" max="5" width="14.28515625" customWidth="1"/>
  </cols>
  <sheetData>
    <row r="2" spans="2:5" ht="35.25" customHeight="1">
      <c r="B2" s="11" t="s">
        <v>769</v>
      </c>
      <c r="C2" s="439" t="s">
        <v>770</v>
      </c>
      <c r="D2" s="439"/>
      <c r="E2" s="439"/>
    </row>
    <row r="3" spans="2:5">
      <c r="C3" s="430" t="s">
        <v>771</v>
      </c>
      <c r="D3" s="430"/>
      <c r="E3" s="430"/>
    </row>
    <row r="4" spans="2:5">
      <c r="C4" s="438" t="s">
        <v>655</v>
      </c>
      <c r="D4" s="438"/>
      <c r="E4" s="438"/>
    </row>
    <row r="5" spans="2:5">
      <c r="C5" s="158"/>
      <c r="D5" s="158"/>
      <c r="E5" s="158"/>
    </row>
    <row r="6" spans="2:5">
      <c r="C6" s="430" t="s">
        <v>772</v>
      </c>
      <c r="D6" s="430"/>
      <c r="E6" s="430"/>
    </row>
    <row r="7" spans="2:5">
      <c r="C7" s="438" t="s">
        <v>655</v>
      </c>
      <c r="D7" s="438"/>
      <c r="E7" s="158"/>
    </row>
    <row r="8" spans="2:5" ht="33" customHeight="1">
      <c r="C8" s="439" t="s">
        <v>773</v>
      </c>
      <c r="D8" s="439"/>
      <c r="E8" s="439"/>
    </row>
    <row r="10" spans="2:5">
      <c r="C10" s="448" t="s">
        <v>774</v>
      </c>
      <c r="D10" s="449"/>
    </row>
    <row r="11" spans="2:5">
      <c r="C11" s="165" t="s">
        <v>775</v>
      </c>
      <c r="D11" s="177" t="s">
        <v>776</v>
      </c>
    </row>
    <row r="12" spans="2:5">
      <c r="C12" s="165" t="s">
        <v>777</v>
      </c>
      <c r="D12" s="177">
        <v>1514002911</v>
      </c>
    </row>
    <row r="13" spans="2:5">
      <c r="C13" s="165" t="s">
        <v>778</v>
      </c>
      <c r="D13" s="177" t="s">
        <v>779</v>
      </c>
    </row>
    <row r="14" spans="2:5">
      <c r="C14" s="165" t="s">
        <v>780</v>
      </c>
      <c r="D14" s="177" t="s">
        <v>5</v>
      </c>
    </row>
    <row r="15" spans="2:5">
      <c r="C15" s="165" t="s">
        <v>781</v>
      </c>
      <c r="D15" s="179">
        <v>44246</v>
      </c>
    </row>
    <row r="16" spans="2:5">
      <c r="C16" s="165" t="s">
        <v>782</v>
      </c>
      <c r="D16" s="179">
        <v>44256</v>
      </c>
    </row>
    <row r="17" spans="2:5">
      <c r="C17" s="165" t="s">
        <v>783</v>
      </c>
      <c r="D17" s="179">
        <v>44621</v>
      </c>
    </row>
    <row r="18" spans="2:5">
      <c r="C18" s="165" t="s">
        <v>784</v>
      </c>
      <c r="D18" s="177">
        <v>366</v>
      </c>
    </row>
    <row r="19" spans="2:5">
      <c r="C19" s="165" t="s">
        <v>785</v>
      </c>
      <c r="D19" s="217" t="s">
        <v>786</v>
      </c>
    </row>
    <row r="21" spans="2:5">
      <c r="B21" s="11" t="s">
        <v>787</v>
      </c>
      <c r="C21" s="161" t="s">
        <v>788</v>
      </c>
      <c r="D21" s="158"/>
      <c r="E21" s="158"/>
    </row>
    <row r="22" spans="2:5" ht="32.25" customHeight="1">
      <c r="C22" s="447" t="s">
        <v>789</v>
      </c>
      <c r="D22" s="447"/>
      <c r="E22" s="447"/>
    </row>
    <row r="23" spans="2:5">
      <c r="C23" s="158"/>
      <c r="D23" s="158"/>
      <c r="E23" s="158"/>
    </row>
    <row r="24" spans="2:5">
      <c r="B24" s="100" t="s">
        <v>790</v>
      </c>
      <c r="C24" s="162" t="s">
        <v>791</v>
      </c>
      <c r="D24" s="158"/>
      <c r="E24" s="158"/>
    </row>
    <row r="25" spans="2:5">
      <c r="C25" s="163" t="s">
        <v>792</v>
      </c>
      <c r="D25" s="158"/>
      <c r="E25" s="158"/>
    </row>
    <row r="26" spans="2:5">
      <c r="C26" s="158"/>
      <c r="D26" s="158"/>
      <c r="E26" s="158"/>
    </row>
    <row r="27" spans="2:5">
      <c r="B27" s="11" t="s">
        <v>793</v>
      </c>
      <c r="C27" s="157" t="s">
        <v>794</v>
      </c>
      <c r="D27" s="158"/>
      <c r="E27" s="158"/>
    </row>
    <row r="28" spans="2:5" ht="25.5">
      <c r="C28" s="159" t="s">
        <v>795</v>
      </c>
      <c r="D28" s="158"/>
      <c r="E28" s="158"/>
    </row>
    <row r="29" spans="2:5">
      <c r="C29" s="158"/>
      <c r="D29" s="158"/>
      <c r="E29" s="158"/>
    </row>
    <row r="30" spans="2:5">
      <c r="B30" s="11" t="s">
        <v>796</v>
      </c>
      <c r="C30" s="164" t="s">
        <v>797</v>
      </c>
      <c r="D30" s="158"/>
      <c r="E30" s="158"/>
    </row>
    <row r="31" spans="2:5">
      <c r="C31" s="159" t="s">
        <v>655</v>
      </c>
      <c r="D31" s="158"/>
      <c r="E31" s="158"/>
    </row>
    <row r="32" spans="2:5">
      <c r="C32" s="158"/>
      <c r="D32" s="158"/>
      <c r="E32" s="158"/>
    </row>
    <row r="33" spans="2:5">
      <c r="B33" s="11" t="s">
        <v>798</v>
      </c>
      <c r="C33" s="157" t="s">
        <v>799</v>
      </c>
      <c r="D33" s="158"/>
      <c r="E33" s="158"/>
    </row>
    <row r="34" spans="2:5">
      <c r="C34" s="163" t="s">
        <v>800</v>
      </c>
      <c r="D34" s="158"/>
      <c r="E34" s="158"/>
    </row>
    <row r="36" spans="2:5">
      <c r="C36" s="134"/>
    </row>
    <row r="37" spans="2:5">
      <c r="C37" s="135"/>
    </row>
    <row r="38" spans="2:5">
      <c r="C38" s="136"/>
    </row>
  </sheetData>
  <mergeCells count="8">
    <mergeCell ref="C22:E22"/>
    <mergeCell ref="C8:E8"/>
    <mergeCell ref="C2:E2"/>
    <mergeCell ref="C3:E3"/>
    <mergeCell ref="C4:E4"/>
    <mergeCell ref="C6:E6"/>
    <mergeCell ref="C7:D7"/>
    <mergeCell ref="C10:D10"/>
  </mergeCells>
  <pageMargins left="0.70866141732283472" right="0.70866141732283472" top="1.3385826771653544" bottom="0.74803149606299213" header="0.31496062992125984" footer="0.31496062992125984"/>
  <pageSetup scale="57" orientation="portrait" r:id="rId1"/>
  <colBreaks count="1" manualBreakCount="1">
    <brk id="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1:N271"/>
  <sheetViews>
    <sheetView showGridLines="0" topLeftCell="A4" workbookViewId="0">
      <selection activeCell="D37" sqref="D37"/>
    </sheetView>
  </sheetViews>
  <sheetFormatPr defaultRowHeight="15"/>
  <cols>
    <col min="3" max="3" width="32.85546875" bestFit="1" customWidth="1"/>
    <col min="4" max="4" width="23" customWidth="1"/>
    <col min="5" max="5" width="14.7109375" bestFit="1" customWidth="1"/>
    <col min="6" max="7" width="4.5703125" bestFit="1" customWidth="1"/>
    <col min="8" max="8" width="7.140625" bestFit="1" customWidth="1"/>
    <col min="9" max="9" width="5.42578125" bestFit="1" customWidth="1"/>
    <col min="10" max="10" width="17.42578125" bestFit="1" customWidth="1"/>
    <col min="11" max="11" width="14.85546875" bestFit="1" customWidth="1"/>
    <col min="12" max="12" width="11.7109375" bestFit="1" customWidth="1"/>
    <col min="13" max="13" width="25.28515625" bestFit="1" customWidth="1"/>
  </cols>
  <sheetData>
    <row r="1" spans="2:10">
      <c r="I1" s="337"/>
      <c r="J1" s="327"/>
    </row>
    <row r="2" spans="2:10">
      <c r="I2" s="337"/>
      <c r="J2" s="327"/>
    </row>
    <row r="3" spans="2:10">
      <c r="B3" s="380" t="s">
        <v>1</v>
      </c>
      <c r="C3" s="381"/>
      <c r="D3" s="381"/>
      <c r="E3" s="381"/>
      <c r="F3" s="381"/>
      <c r="G3" s="381"/>
      <c r="H3" s="381"/>
      <c r="I3" s="381"/>
      <c r="J3" s="381"/>
    </row>
    <row r="4" spans="2:10">
      <c r="B4" s="382" t="s">
        <v>2</v>
      </c>
      <c r="C4" s="382"/>
      <c r="D4" s="382"/>
      <c r="E4" s="382"/>
      <c r="F4" s="382"/>
      <c r="G4" s="382"/>
      <c r="H4" s="382"/>
      <c r="I4" s="382"/>
      <c r="J4" s="382"/>
    </row>
    <row r="5" spans="2:10">
      <c r="I5" s="333"/>
      <c r="J5" s="327"/>
    </row>
    <row r="6" spans="2:10">
      <c r="B6" s="313" t="s">
        <v>3</v>
      </c>
      <c r="C6" s="313"/>
      <c r="D6" s="313"/>
      <c r="E6" s="313"/>
      <c r="F6" s="313"/>
      <c r="G6" s="313"/>
      <c r="H6" s="313"/>
      <c r="I6" s="334"/>
      <c r="J6" s="332"/>
    </row>
    <row r="7" spans="2:10">
      <c r="B7" s="314"/>
      <c r="C7" s="314"/>
      <c r="D7" s="314"/>
      <c r="E7" s="314"/>
      <c r="F7" s="314"/>
      <c r="G7" s="314"/>
      <c r="H7" s="314"/>
      <c r="I7" s="335"/>
      <c r="J7" s="327"/>
    </row>
    <row r="8" spans="2:10">
      <c r="B8" s="315" t="s">
        <v>4</v>
      </c>
      <c r="C8" s="315"/>
      <c r="D8" s="315" t="s">
        <v>5</v>
      </c>
      <c r="E8" s="315"/>
      <c r="F8" s="315"/>
      <c r="G8" s="315"/>
      <c r="H8" s="314"/>
      <c r="I8" s="335"/>
      <c r="J8" s="327"/>
    </row>
    <row r="9" spans="2:10">
      <c r="B9" s="315" t="s">
        <v>6</v>
      </c>
      <c r="C9" s="315"/>
      <c r="D9" s="315" t="s">
        <v>7</v>
      </c>
      <c r="E9" s="315"/>
      <c r="F9" s="315"/>
      <c r="G9" s="315"/>
      <c r="H9" s="314"/>
      <c r="I9" s="335"/>
      <c r="J9" s="327"/>
    </row>
    <row r="10" spans="2:10">
      <c r="B10" s="315" t="s">
        <v>8</v>
      </c>
      <c r="C10" s="315"/>
      <c r="D10" s="315" t="s">
        <v>9</v>
      </c>
      <c r="E10" s="315"/>
      <c r="F10" s="315"/>
      <c r="G10" s="315"/>
      <c r="H10" s="314"/>
      <c r="I10" s="335"/>
      <c r="J10" s="327"/>
    </row>
    <row r="11" spans="2:10">
      <c r="B11" s="315" t="s">
        <v>10</v>
      </c>
      <c r="C11" s="315"/>
      <c r="D11" s="353">
        <v>1</v>
      </c>
      <c r="E11" s="315"/>
      <c r="F11" s="315"/>
      <c r="G11" s="315"/>
      <c r="H11" s="315"/>
      <c r="I11" s="335"/>
      <c r="J11" s="327"/>
    </row>
    <row r="12" spans="2:10">
      <c r="B12" s="315" t="s">
        <v>11</v>
      </c>
      <c r="C12" s="315"/>
      <c r="D12" s="328" t="s">
        <v>12</v>
      </c>
      <c r="E12" s="328"/>
      <c r="F12" s="328"/>
      <c r="G12" s="328"/>
      <c r="H12" s="314"/>
      <c r="I12" s="335"/>
      <c r="J12" s="327"/>
    </row>
    <row r="13" spans="2:10">
      <c r="B13" s="315" t="s">
        <v>13</v>
      </c>
      <c r="C13" s="315"/>
      <c r="D13" s="315" t="s">
        <v>14</v>
      </c>
      <c r="E13" s="315"/>
      <c r="F13" s="315"/>
      <c r="G13" s="315"/>
      <c r="H13" s="314"/>
      <c r="I13" s="335"/>
      <c r="J13" s="327"/>
    </row>
    <row r="14" spans="2:10">
      <c r="B14" s="315" t="s">
        <v>15</v>
      </c>
      <c r="C14" s="315"/>
      <c r="D14" s="315" t="s">
        <v>16</v>
      </c>
      <c r="E14" s="315"/>
      <c r="F14" s="315"/>
      <c r="G14" s="315"/>
      <c r="H14" s="314"/>
      <c r="I14" s="335"/>
      <c r="J14" s="327"/>
    </row>
    <row r="15" spans="2:10">
      <c r="B15" s="315" t="s">
        <v>17</v>
      </c>
      <c r="C15" s="315"/>
      <c r="D15" s="315" t="s">
        <v>18</v>
      </c>
      <c r="E15" s="315"/>
      <c r="F15" s="315"/>
      <c r="G15" s="315"/>
      <c r="H15" s="314"/>
      <c r="I15" s="335"/>
      <c r="J15" s="327"/>
    </row>
    <row r="16" spans="2:10">
      <c r="B16" s="315" t="s">
        <v>19</v>
      </c>
      <c r="C16" s="315"/>
      <c r="D16" s="328" t="s">
        <v>12</v>
      </c>
      <c r="E16" s="328"/>
      <c r="F16" s="328"/>
      <c r="G16" s="328"/>
      <c r="H16" s="314"/>
      <c r="I16" s="335"/>
      <c r="J16" s="327"/>
    </row>
    <row r="17" spans="2:10">
      <c r="B17" s="314"/>
      <c r="C17" s="314"/>
      <c r="D17" s="314"/>
      <c r="E17" s="314"/>
      <c r="F17" s="314"/>
      <c r="G17" s="314"/>
      <c r="H17" s="314"/>
      <c r="I17" s="335"/>
      <c r="J17" s="327"/>
    </row>
    <row r="18" spans="2:10">
      <c r="B18" s="313" t="s">
        <v>20</v>
      </c>
      <c r="C18" s="313"/>
      <c r="D18" s="313"/>
      <c r="E18" s="313"/>
      <c r="F18" s="313"/>
      <c r="G18" s="313"/>
      <c r="H18" s="313"/>
      <c r="I18" s="334"/>
      <c r="J18" s="332"/>
    </row>
    <row r="19" spans="2:10">
      <c r="B19" s="316"/>
      <c r="C19" s="316"/>
      <c r="D19" s="316"/>
      <c r="E19" s="316"/>
      <c r="F19" s="316"/>
      <c r="G19" s="316"/>
      <c r="H19" s="316"/>
      <c r="I19" s="336"/>
      <c r="J19" s="327"/>
    </row>
    <row r="20" spans="2:10">
      <c r="B20" s="383" t="s">
        <v>21</v>
      </c>
      <c r="C20" s="383"/>
      <c r="D20" s="383"/>
      <c r="E20" s="383"/>
      <c r="F20" s="383"/>
      <c r="G20" s="383"/>
      <c r="H20" s="383"/>
      <c r="I20" s="383"/>
      <c r="J20" s="383"/>
    </row>
    <row r="21" spans="2:10">
      <c r="B21" s="378" t="s">
        <v>22</v>
      </c>
      <c r="C21" s="378"/>
      <c r="D21" s="378"/>
      <c r="E21" s="378"/>
      <c r="F21" s="378"/>
      <c r="G21" s="378"/>
      <c r="H21" s="378"/>
      <c r="I21" s="378"/>
      <c r="J21" s="378"/>
    </row>
    <row r="22" spans="2:10">
      <c r="B22" s="378" t="s">
        <v>23</v>
      </c>
      <c r="C22" s="378"/>
      <c r="D22" s="378"/>
      <c r="E22" s="378"/>
      <c r="F22" s="378"/>
      <c r="G22" s="378"/>
      <c r="H22" s="378"/>
      <c r="I22" s="378"/>
      <c r="J22" s="378"/>
    </row>
    <row r="23" spans="2:10">
      <c r="B23" s="378" t="s">
        <v>24</v>
      </c>
      <c r="C23" s="378"/>
      <c r="D23" s="378"/>
      <c r="E23" s="378"/>
      <c r="F23" s="378"/>
      <c r="G23" s="378"/>
      <c r="H23" s="378"/>
      <c r="I23" s="378"/>
      <c r="J23" s="378"/>
    </row>
    <row r="24" spans="2:10">
      <c r="B24" s="384" t="s">
        <v>25</v>
      </c>
      <c r="C24" s="384"/>
      <c r="D24" s="384"/>
      <c r="E24" s="384"/>
      <c r="F24" s="384"/>
      <c r="G24" s="384"/>
      <c r="H24" s="384"/>
      <c r="I24" s="384"/>
      <c r="J24" s="384"/>
    </row>
    <row r="25" spans="2:10">
      <c r="B25" s="384"/>
      <c r="C25" s="384"/>
      <c r="D25" s="384"/>
      <c r="E25" s="384"/>
      <c r="F25" s="384"/>
      <c r="G25" s="384"/>
      <c r="H25" s="384"/>
      <c r="I25" s="384"/>
      <c r="J25" s="384"/>
    </row>
    <row r="26" spans="2:10">
      <c r="B26" s="384"/>
      <c r="C26" s="384"/>
      <c r="D26" s="384"/>
      <c r="E26" s="384"/>
      <c r="F26" s="384"/>
      <c r="G26" s="384"/>
      <c r="H26" s="384"/>
      <c r="I26" s="384"/>
      <c r="J26" s="384"/>
    </row>
    <row r="27" spans="2:10">
      <c r="B27" s="384"/>
      <c r="C27" s="384"/>
      <c r="D27" s="384"/>
      <c r="E27" s="384"/>
      <c r="F27" s="384"/>
      <c r="G27" s="384"/>
      <c r="H27" s="384"/>
      <c r="I27" s="384"/>
      <c r="J27" s="384"/>
    </row>
    <row r="28" spans="2:10">
      <c r="B28" s="311"/>
      <c r="C28" s="385"/>
      <c r="D28" s="385"/>
      <c r="E28" s="385"/>
      <c r="F28" s="385"/>
      <c r="G28" s="385"/>
      <c r="H28" s="385"/>
      <c r="I28" s="385"/>
      <c r="J28" s="327"/>
    </row>
    <row r="29" spans="2:10">
      <c r="B29" s="313" t="s">
        <v>26</v>
      </c>
      <c r="C29" s="313"/>
      <c r="D29" s="313"/>
      <c r="E29" s="313"/>
      <c r="F29" s="313"/>
      <c r="G29" s="313"/>
      <c r="H29" s="313"/>
      <c r="I29" s="334"/>
      <c r="J29" s="332"/>
    </row>
    <row r="30" spans="2:10">
      <c r="B30" s="311"/>
      <c r="C30" s="312"/>
      <c r="I30" s="337"/>
      <c r="J30" s="327"/>
    </row>
    <row r="31" spans="2:10">
      <c r="B31" s="374" t="s">
        <v>27</v>
      </c>
      <c r="C31" s="374"/>
      <c r="D31" s="321" t="s">
        <v>28</v>
      </c>
      <c r="E31" s="321"/>
      <c r="F31" s="321"/>
      <c r="G31" s="321"/>
      <c r="H31" s="321"/>
      <c r="I31" s="338"/>
      <c r="J31" s="327"/>
    </row>
    <row r="32" spans="2:10">
      <c r="B32" s="374" t="s">
        <v>29</v>
      </c>
      <c r="C32" s="374"/>
      <c r="D32" s="374"/>
      <c r="E32" s="321"/>
      <c r="F32" s="321"/>
      <c r="G32" s="321"/>
      <c r="H32" s="318"/>
      <c r="I32" s="339"/>
      <c r="J32" s="327"/>
    </row>
    <row r="33" spans="2:10">
      <c r="B33" s="372" t="s">
        <v>30</v>
      </c>
      <c r="C33" s="372"/>
      <c r="D33" s="384" t="s">
        <v>31</v>
      </c>
      <c r="E33" s="384"/>
      <c r="F33" s="384"/>
      <c r="G33" s="384"/>
      <c r="H33" s="384"/>
      <c r="I33" s="384"/>
      <c r="J33" s="327"/>
    </row>
    <row r="34" spans="2:10">
      <c r="B34" s="372" t="s">
        <v>32</v>
      </c>
      <c r="C34" s="372"/>
      <c r="D34" s="384" t="s">
        <v>33</v>
      </c>
      <c r="E34" s="384"/>
      <c r="F34" s="384"/>
      <c r="G34" s="384"/>
      <c r="H34" s="384"/>
      <c r="I34" s="384"/>
      <c r="J34" s="327"/>
    </row>
    <row r="35" spans="2:10">
      <c r="B35" s="372" t="s">
        <v>34</v>
      </c>
      <c r="C35" s="372"/>
      <c r="D35" s="384" t="s">
        <v>35</v>
      </c>
      <c r="E35" s="384"/>
      <c r="F35" s="384"/>
      <c r="G35" s="384"/>
      <c r="H35" s="384"/>
      <c r="I35" s="384"/>
      <c r="J35" s="327"/>
    </row>
    <row r="36" spans="2:10" ht="24.75">
      <c r="B36" s="372" t="s">
        <v>36</v>
      </c>
      <c r="C36" s="372"/>
      <c r="D36" s="319" t="s">
        <v>37</v>
      </c>
      <c r="E36" s="319"/>
      <c r="F36" s="319"/>
      <c r="G36" s="319"/>
      <c r="H36" s="319"/>
      <c r="I36" s="340"/>
      <c r="J36" s="327"/>
    </row>
    <row r="37" spans="2:10" ht="24.75">
      <c r="B37" s="372" t="s">
        <v>36</v>
      </c>
      <c r="C37" s="386"/>
      <c r="D37" s="319" t="s">
        <v>38</v>
      </c>
      <c r="E37" s="319"/>
      <c r="F37" s="319"/>
      <c r="G37" s="319"/>
      <c r="H37" s="319"/>
      <c r="I37" s="340"/>
      <c r="J37" s="327"/>
    </row>
    <row r="38" spans="2:10">
      <c r="B38" s="317"/>
      <c r="C38" s="317"/>
      <c r="D38" s="319"/>
      <c r="E38" s="319"/>
      <c r="F38" s="319"/>
      <c r="G38" s="319"/>
      <c r="H38" s="319"/>
      <c r="I38" s="340"/>
      <c r="J38" s="327"/>
    </row>
    <row r="39" spans="2:10">
      <c r="B39" s="374" t="s">
        <v>39</v>
      </c>
      <c r="C39" s="374"/>
      <c r="D39" s="384" t="s">
        <v>40</v>
      </c>
      <c r="E39" s="384"/>
      <c r="F39" s="384"/>
      <c r="G39" s="384"/>
      <c r="H39" s="384"/>
      <c r="I39" s="340"/>
      <c r="J39" s="327"/>
    </row>
    <row r="40" spans="2:10">
      <c r="B40" s="374" t="s">
        <v>41</v>
      </c>
      <c r="C40" s="374"/>
      <c r="D40" s="384" t="s">
        <v>42</v>
      </c>
      <c r="E40" s="384"/>
      <c r="F40" s="384"/>
      <c r="G40" s="384"/>
      <c r="H40" s="384"/>
      <c r="I40" s="340"/>
      <c r="J40" s="327"/>
    </row>
    <row r="41" spans="2:10">
      <c r="B41" s="317"/>
      <c r="C41" s="317"/>
      <c r="D41" s="319"/>
      <c r="E41" s="319"/>
      <c r="F41" s="319"/>
      <c r="G41" s="319"/>
      <c r="H41" s="319"/>
      <c r="I41" s="340"/>
      <c r="J41" s="327"/>
    </row>
    <row r="42" spans="2:10">
      <c r="B42" s="374" t="s">
        <v>43</v>
      </c>
      <c r="C42" s="374"/>
      <c r="D42" s="320"/>
      <c r="E42" s="320"/>
      <c r="F42" s="320"/>
      <c r="G42" s="320"/>
      <c r="H42" s="320"/>
      <c r="I42" s="341"/>
      <c r="J42" s="327"/>
    </row>
    <row r="43" spans="2:10">
      <c r="B43" s="372" t="s">
        <v>44</v>
      </c>
      <c r="C43" s="372"/>
      <c r="D43" s="384" t="s">
        <v>31</v>
      </c>
      <c r="E43" s="384"/>
      <c r="F43" s="384"/>
      <c r="G43" s="384"/>
      <c r="H43" s="384"/>
      <c r="I43" s="384"/>
      <c r="J43" s="327"/>
    </row>
    <row r="44" spans="2:10">
      <c r="B44" s="372" t="s">
        <v>45</v>
      </c>
      <c r="C44" s="372"/>
      <c r="D44" s="384" t="s">
        <v>33</v>
      </c>
      <c r="E44" s="384"/>
      <c r="F44" s="384"/>
      <c r="G44" s="384"/>
      <c r="H44" s="384"/>
      <c r="I44" s="384"/>
      <c r="J44" s="327"/>
    </row>
    <row r="45" spans="2:10">
      <c r="B45" s="372" t="s">
        <v>46</v>
      </c>
      <c r="C45" s="372"/>
      <c r="D45" s="317" t="s">
        <v>47</v>
      </c>
      <c r="E45" s="317"/>
      <c r="F45" s="317"/>
      <c r="G45" s="317"/>
      <c r="H45" s="320"/>
      <c r="I45" s="341"/>
      <c r="J45" s="327"/>
    </row>
    <row r="46" spans="2:10">
      <c r="B46" s="372" t="s">
        <v>48</v>
      </c>
      <c r="C46" s="372"/>
      <c r="D46" s="317" t="s">
        <v>49</v>
      </c>
      <c r="E46" s="317"/>
      <c r="F46" s="317"/>
      <c r="G46" s="317"/>
      <c r="H46" s="320"/>
      <c r="I46" s="341"/>
      <c r="J46" s="327"/>
    </row>
    <row r="47" spans="2:10" ht="15.75">
      <c r="B47" s="322"/>
      <c r="C47" s="322"/>
      <c r="D47" s="320"/>
      <c r="E47" s="320"/>
      <c r="F47" s="320"/>
      <c r="G47" s="320"/>
      <c r="H47" s="320"/>
      <c r="I47" s="341"/>
      <c r="J47" s="327"/>
    </row>
    <row r="48" spans="2:10">
      <c r="B48" s="313" t="s">
        <v>50</v>
      </c>
      <c r="C48" s="313"/>
      <c r="D48" s="313"/>
      <c r="E48" s="313"/>
      <c r="F48" s="313"/>
      <c r="G48" s="313"/>
      <c r="H48" s="313"/>
      <c r="I48" s="334"/>
      <c r="J48" s="332"/>
    </row>
    <row r="49" spans="2:14">
      <c r="B49" s="390" t="s">
        <v>51</v>
      </c>
      <c r="C49" s="390"/>
      <c r="D49" s="390"/>
      <c r="E49" s="390"/>
      <c r="F49" s="390"/>
      <c r="G49" s="390"/>
      <c r="H49" s="390"/>
      <c r="I49" s="390"/>
      <c r="J49" s="390"/>
    </row>
    <row r="50" spans="2:14">
      <c r="B50" s="390"/>
      <c r="C50" s="390"/>
      <c r="D50" s="390"/>
      <c r="E50" s="390"/>
      <c r="F50" s="390"/>
      <c r="G50" s="390"/>
      <c r="H50" s="390"/>
      <c r="I50" s="390"/>
      <c r="J50" s="390"/>
    </row>
    <row r="51" spans="2:14">
      <c r="B51" s="390"/>
      <c r="C51" s="390"/>
      <c r="D51" s="390"/>
      <c r="E51" s="390"/>
      <c r="F51" s="390"/>
      <c r="G51" s="390"/>
      <c r="H51" s="390"/>
      <c r="I51" s="390"/>
      <c r="J51" s="390"/>
    </row>
    <row r="52" spans="2:14">
      <c r="B52" s="390"/>
      <c r="C52" s="390"/>
      <c r="D52" s="390"/>
      <c r="E52" s="390"/>
      <c r="F52" s="390"/>
      <c r="G52" s="390"/>
      <c r="H52" s="390"/>
      <c r="I52" s="390"/>
      <c r="J52" s="390"/>
    </row>
    <row r="53" spans="2:14">
      <c r="B53" s="387" t="s">
        <v>52</v>
      </c>
      <c r="C53" s="388"/>
      <c r="D53" s="323">
        <v>6500000000</v>
      </c>
      <c r="E53" s="329"/>
      <c r="F53" s="329"/>
      <c r="G53" s="329"/>
      <c r="I53" s="337"/>
      <c r="J53" s="327"/>
    </row>
    <row r="54" spans="2:14">
      <c r="B54" s="387" t="s">
        <v>53</v>
      </c>
      <c r="C54" s="388"/>
      <c r="D54" s="323" t="s">
        <v>54</v>
      </c>
      <c r="E54" s="329"/>
      <c r="F54" s="329"/>
      <c r="G54" s="329"/>
      <c r="I54" s="337"/>
      <c r="J54" s="327"/>
    </row>
    <row r="55" spans="2:14">
      <c r="B55" s="387" t="s">
        <v>55</v>
      </c>
      <c r="C55" s="388"/>
      <c r="D55" s="323" t="str">
        <f>+D54</f>
        <v>G.3.332.300.000</v>
      </c>
      <c r="E55" s="329"/>
      <c r="F55" s="329"/>
      <c r="G55" s="329"/>
      <c r="I55" s="337"/>
      <c r="J55" s="327"/>
    </row>
    <row r="56" spans="2:14">
      <c r="B56" s="387" t="s">
        <v>56</v>
      </c>
      <c r="C56" s="389"/>
      <c r="D56" s="323">
        <v>3167700000</v>
      </c>
      <c r="E56" s="329"/>
      <c r="F56" s="329"/>
      <c r="G56" s="329"/>
      <c r="I56" s="337"/>
      <c r="J56" s="327"/>
    </row>
    <row r="60" spans="2:14">
      <c r="B60" s="314" t="s">
        <v>57</v>
      </c>
      <c r="C60" s="314"/>
      <c r="D60" s="314"/>
      <c r="E60" s="314"/>
      <c r="F60" s="314"/>
      <c r="G60" s="314"/>
      <c r="H60" s="318"/>
      <c r="I60" s="337"/>
      <c r="J60" s="327"/>
      <c r="N60" s="39"/>
    </row>
    <row r="61" spans="2:14" ht="4.5" customHeight="1">
      <c r="I61" s="337"/>
      <c r="J61" s="327"/>
      <c r="N61" s="39"/>
    </row>
    <row r="62" spans="2:14" ht="18.600000000000001" customHeight="1">
      <c r="B62" s="330" t="s">
        <v>58</v>
      </c>
      <c r="C62" s="330" t="s">
        <v>59</v>
      </c>
      <c r="D62" s="330" t="s">
        <v>60</v>
      </c>
      <c r="E62" s="330" t="s">
        <v>61</v>
      </c>
      <c r="F62" s="330" t="s">
        <v>62</v>
      </c>
      <c r="G62" s="330" t="s">
        <v>63</v>
      </c>
      <c r="H62" s="330" t="s">
        <v>64</v>
      </c>
      <c r="I62" s="342" t="s">
        <v>65</v>
      </c>
      <c r="J62" s="331" t="s">
        <v>66</v>
      </c>
      <c r="K62" s="331" t="s">
        <v>67</v>
      </c>
      <c r="L62" s="330" t="s">
        <v>68</v>
      </c>
      <c r="M62" s="331" t="s">
        <v>69</v>
      </c>
      <c r="N62" s="39"/>
    </row>
    <row r="63" spans="2:14">
      <c r="B63" s="366">
        <v>1</v>
      </c>
      <c r="C63" s="366" t="s">
        <v>70</v>
      </c>
      <c r="D63" s="324" t="s">
        <v>71</v>
      </c>
      <c r="E63" s="324" t="s">
        <v>72</v>
      </c>
      <c r="F63" s="324">
        <v>151</v>
      </c>
      <c r="G63" s="324">
        <v>160</v>
      </c>
      <c r="H63" s="324" t="s">
        <v>73</v>
      </c>
      <c r="I63" s="343">
        <f t="shared" ref="I63:I94" si="0">IF(H63="Ordinaria",+J63,0)</f>
        <v>10</v>
      </c>
      <c r="J63" s="324">
        <v>10</v>
      </c>
      <c r="K63" s="344">
        <f t="shared" ref="K63:K94" si="1">+I63</f>
        <v>10</v>
      </c>
      <c r="L63" s="178">
        <f t="shared" ref="L63:L94" si="2">J63*100000</f>
        <v>1000000</v>
      </c>
      <c r="M63" s="325">
        <f t="shared" ref="M63:M94" si="3">+L63/$L$247</f>
        <v>2.8225465014536117E-4</v>
      </c>
      <c r="N63" s="39" t="s">
        <v>73</v>
      </c>
    </row>
    <row r="64" spans="2:14">
      <c r="B64" s="367"/>
      <c r="C64" s="367"/>
      <c r="D64" s="324" t="s">
        <v>74</v>
      </c>
      <c r="E64" s="324" t="s">
        <v>72</v>
      </c>
      <c r="F64" s="324">
        <v>182</v>
      </c>
      <c r="G64" s="324">
        <v>200</v>
      </c>
      <c r="H64" s="324" t="s">
        <v>73</v>
      </c>
      <c r="I64" s="343">
        <f t="shared" si="0"/>
        <v>19</v>
      </c>
      <c r="J64" s="324">
        <v>19</v>
      </c>
      <c r="K64" s="344">
        <f t="shared" si="1"/>
        <v>19</v>
      </c>
      <c r="L64" s="178">
        <f t="shared" si="2"/>
        <v>1900000</v>
      </c>
      <c r="M64" s="325">
        <f t="shared" si="3"/>
        <v>5.3628383527618614E-4</v>
      </c>
      <c r="N64" s="39" t="s">
        <v>73</v>
      </c>
    </row>
    <row r="65" spans="2:14">
      <c r="B65" s="368"/>
      <c r="C65" s="368"/>
      <c r="D65" s="324" t="s">
        <v>75</v>
      </c>
      <c r="E65" s="324" t="s">
        <v>76</v>
      </c>
      <c r="F65" s="324">
        <v>1</v>
      </c>
      <c r="G65" s="324">
        <v>12</v>
      </c>
      <c r="H65" s="324" t="s">
        <v>73</v>
      </c>
      <c r="I65" s="343">
        <f t="shared" si="0"/>
        <v>12</v>
      </c>
      <c r="J65" s="324">
        <v>12</v>
      </c>
      <c r="K65" s="344">
        <f t="shared" si="1"/>
        <v>12</v>
      </c>
      <c r="L65" s="178">
        <f t="shared" si="2"/>
        <v>1200000</v>
      </c>
      <c r="M65" s="325">
        <f t="shared" si="3"/>
        <v>3.3870558017443336E-4</v>
      </c>
      <c r="N65" s="39" t="s">
        <v>73</v>
      </c>
    </row>
    <row r="66" spans="2:14">
      <c r="B66" s="366">
        <v>2</v>
      </c>
      <c r="C66" s="366" t="s">
        <v>77</v>
      </c>
      <c r="D66" s="324" t="s">
        <v>74</v>
      </c>
      <c r="E66" s="324" t="s">
        <v>78</v>
      </c>
      <c r="F66" s="324">
        <v>1</v>
      </c>
      <c r="G66" s="324">
        <v>2</v>
      </c>
      <c r="H66" s="324" t="s">
        <v>73</v>
      </c>
      <c r="I66" s="343">
        <f t="shared" si="0"/>
        <v>2</v>
      </c>
      <c r="J66" s="324">
        <v>2</v>
      </c>
      <c r="K66" s="344">
        <f t="shared" si="1"/>
        <v>2</v>
      </c>
      <c r="L66" s="178">
        <f t="shared" si="2"/>
        <v>200000</v>
      </c>
      <c r="M66" s="325">
        <f t="shared" si="3"/>
        <v>5.6450930029072231E-5</v>
      </c>
      <c r="N66" s="39" t="s">
        <v>73</v>
      </c>
    </row>
    <row r="67" spans="2:14">
      <c r="B67" s="367"/>
      <c r="C67" s="367"/>
      <c r="D67" s="324" t="s">
        <v>79</v>
      </c>
      <c r="E67" s="324" t="s">
        <v>78</v>
      </c>
      <c r="F67" s="324">
        <v>103</v>
      </c>
      <c r="G67" s="324">
        <v>200</v>
      </c>
      <c r="H67" s="324" t="s">
        <v>73</v>
      </c>
      <c r="I67" s="343">
        <f t="shared" si="0"/>
        <v>98</v>
      </c>
      <c r="J67" s="324">
        <v>98</v>
      </c>
      <c r="K67" s="344">
        <f t="shared" si="1"/>
        <v>98</v>
      </c>
      <c r="L67" s="178">
        <f t="shared" si="2"/>
        <v>9800000</v>
      </c>
      <c r="M67" s="325">
        <f t="shared" si="3"/>
        <v>2.7660955714245393E-3</v>
      </c>
      <c r="N67" s="39" t="s">
        <v>73</v>
      </c>
    </row>
    <row r="68" spans="2:14">
      <c r="B68" s="367"/>
      <c r="C68" s="367"/>
      <c r="D68" s="324" t="s">
        <v>74</v>
      </c>
      <c r="E68" s="324" t="s">
        <v>80</v>
      </c>
      <c r="F68" s="324">
        <v>3</v>
      </c>
      <c r="G68" s="324">
        <v>52</v>
      </c>
      <c r="H68" s="324" t="s">
        <v>73</v>
      </c>
      <c r="I68" s="343">
        <f t="shared" si="0"/>
        <v>50</v>
      </c>
      <c r="J68" s="324">
        <v>50</v>
      </c>
      <c r="K68" s="344">
        <f t="shared" si="1"/>
        <v>50</v>
      </c>
      <c r="L68" s="178">
        <f t="shared" si="2"/>
        <v>5000000</v>
      </c>
      <c r="M68" s="325">
        <f t="shared" si="3"/>
        <v>1.4112732507268056E-3</v>
      </c>
      <c r="N68" s="39" t="s">
        <v>73</v>
      </c>
    </row>
    <row r="69" spans="2:14">
      <c r="B69" s="367"/>
      <c r="C69" s="367"/>
      <c r="D69" s="324" t="s">
        <v>74</v>
      </c>
      <c r="E69" s="324" t="s">
        <v>81</v>
      </c>
      <c r="F69" s="324">
        <v>53</v>
      </c>
      <c r="G69" s="324">
        <v>102</v>
      </c>
      <c r="H69" s="324" t="s">
        <v>73</v>
      </c>
      <c r="I69" s="343">
        <f t="shared" si="0"/>
        <v>50</v>
      </c>
      <c r="J69" s="324">
        <v>50</v>
      </c>
      <c r="K69" s="344">
        <f t="shared" si="1"/>
        <v>50</v>
      </c>
      <c r="L69" s="178">
        <f t="shared" si="2"/>
        <v>5000000</v>
      </c>
      <c r="M69" s="325">
        <f t="shared" si="3"/>
        <v>1.4112732507268056E-3</v>
      </c>
      <c r="N69" s="39" t="s">
        <v>73</v>
      </c>
    </row>
    <row r="70" spans="2:14">
      <c r="B70" s="367"/>
      <c r="C70" s="367"/>
      <c r="D70" s="324" t="s">
        <v>74</v>
      </c>
      <c r="E70" s="324" t="s">
        <v>82</v>
      </c>
      <c r="F70" s="324">
        <v>103</v>
      </c>
      <c r="G70" s="324">
        <v>107</v>
      </c>
      <c r="H70" s="324" t="s">
        <v>73</v>
      </c>
      <c r="I70" s="343">
        <f t="shared" si="0"/>
        <v>5</v>
      </c>
      <c r="J70" s="324">
        <v>5</v>
      </c>
      <c r="K70" s="344">
        <f t="shared" si="1"/>
        <v>5</v>
      </c>
      <c r="L70" s="178">
        <f t="shared" si="2"/>
        <v>500000</v>
      </c>
      <c r="M70" s="325">
        <f t="shared" si="3"/>
        <v>1.4112732507268059E-4</v>
      </c>
      <c r="N70" s="39" t="s">
        <v>73</v>
      </c>
    </row>
    <row r="71" spans="2:14">
      <c r="B71" s="367"/>
      <c r="C71" s="367"/>
      <c r="D71" s="324" t="s">
        <v>74</v>
      </c>
      <c r="E71" s="324" t="s">
        <v>83</v>
      </c>
      <c r="F71" s="324">
        <v>108</v>
      </c>
      <c r="G71" s="324">
        <v>112</v>
      </c>
      <c r="H71" s="324" t="s">
        <v>73</v>
      </c>
      <c r="I71" s="343">
        <f t="shared" si="0"/>
        <v>5</v>
      </c>
      <c r="J71" s="324">
        <v>5</v>
      </c>
      <c r="K71" s="344">
        <f t="shared" si="1"/>
        <v>5</v>
      </c>
      <c r="L71" s="178">
        <f t="shared" si="2"/>
        <v>500000</v>
      </c>
      <c r="M71" s="325">
        <f t="shared" si="3"/>
        <v>1.4112732507268059E-4</v>
      </c>
      <c r="N71" s="39" t="s">
        <v>73</v>
      </c>
    </row>
    <row r="72" spans="2:14">
      <c r="B72" s="367"/>
      <c r="C72" s="367"/>
      <c r="D72" s="324" t="s">
        <v>84</v>
      </c>
      <c r="E72" s="324" t="s">
        <v>81</v>
      </c>
      <c r="F72" s="324">
        <v>25</v>
      </c>
      <c r="G72" s="324">
        <v>230</v>
      </c>
      <c r="H72" s="324" t="s">
        <v>73</v>
      </c>
      <c r="I72" s="343">
        <f t="shared" si="0"/>
        <v>206</v>
      </c>
      <c r="J72" s="324">
        <v>206</v>
      </c>
      <c r="K72" s="344">
        <f t="shared" si="1"/>
        <v>206</v>
      </c>
      <c r="L72" s="178">
        <f t="shared" si="2"/>
        <v>20600000</v>
      </c>
      <c r="M72" s="325">
        <f t="shared" si="3"/>
        <v>5.8144457929944398E-3</v>
      </c>
      <c r="N72" s="39" t="s">
        <v>73</v>
      </c>
    </row>
    <row r="73" spans="2:14">
      <c r="B73" s="367"/>
      <c r="C73" s="367"/>
      <c r="D73" s="324" t="s">
        <v>85</v>
      </c>
      <c r="E73" s="324" t="s">
        <v>86</v>
      </c>
      <c r="F73" s="324">
        <v>64</v>
      </c>
      <c r="G73" s="324">
        <v>269</v>
      </c>
      <c r="H73" s="324" t="s">
        <v>73</v>
      </c>
      <c r="I73" s="343">
        <f t="shared" si="0"/>
        <v>206</v>
      </c>
      <c r="J73" s="324">
        <v>206</v>
      </c>
      <c r="K73" s="344">
        <f t="shared" si="1"/>
        <v>206</v>
      </c>
      <c r="L73" s="178">
        <f t="shared" si="2"/>
        <v>20600000</v>
      </c>
      <c r="M73" s="325">
        <f t="shared" si="3"/>
        <v>5.8144457929944398E-3</v>
      </c>
      <c r="N73" s="39" t="s">
        <v>73</v>
      </c>
    </row>
    <row r="74" spans="2:14">
      <c r="B74" s="367"/>
      <c r="C74" s="367"/>
      <c r="D74" s="324" t="s">
        <v>87</v>
      </c>
      <c r="E74" s="324" t="s">
        <v>88</v>
      </c>
      <c r="F74" s="324">
        <v>113</v>
      </c>
      <c r="G74" s="324">
        <v>200</v>
      </c>
      <c r="H74" s="324" t="s">
        <v>73</v>
      </c>
      <c r="I74" s="343">
        <f t="shared" si="0"/>
        <v>88</v>
      </c>
      <c r="J74" s="324">
        <v>88</v>
      </c>
      <c r="K74" s="344">
        <f t="shared" si="1"/>
        <v>88</v>
      </c>
      <c r="L74" s="178">
        <f t="shared" si="2"/>
        <v>8800000</v>
      </c>
      <c r="M74" s="325">
        <f t="shared" si="3"/>
        <v>2.4838409212791781E-3</v>
      </c>
      <c r="N74" s="39" t="s">
        <v>73</v>
      </c>
    </row>
    <row r="75" spans="2:14">
      <c r="B75" s="368"/>
      <c r="C75" s="368"/>
      <c r="D75" s="324" t="s">
        <v>89</v>
      </c>
      <c r="E75" s="324" t="s">
        <v>90</v>
      </c>
      <c r="F75" s="324">
        <v>1</v>
      </c>
      <c r="G75" s="324">
        <v>112</v>
      </c>
      <c r="H75" s="324" t="s">
        <v>73</v>
      </c>
      <c r="I75" s="343">
        <f t="shared" si="0"/>
        <v>112</v>
      </c>
      <c r="J75" s="324">
        <v>112</v>
      </c>
      <c r="K75" s="344">
        <f t="shared" si="1"/>
        <v>112</v>
      </c>
      <c r="L75" s="178">
        <f t="shared" si="2"/>
        <v>11200000</v>
      </c>
      <c r="M75" s="325">
        <f t="shared" si="3"/>
        <v>3.1612520816280448E-3</v>
      </c>
      <c r="N75" s="39" t="s">
        <v>73</v>
      </c>
    </row>
    <row r="76" spans="2:14">
      <c r="B76" s="366">
        <v>3</v>
      </c>
      <c r="C76" s="369" t="s">
        <v>91</v>
      </c>
      <c r="D76" s="324" t="s">
        <v>92</v>
      </c>
      <c r="E76" s="324" t="s">
        <v>93</v>
      </c>
      <c r="F76" s="324">
        <v>191</v>
      </c>
      <c r="G76" s="324">
        <v>200</v>
      </c>
      <c r="H76" s="324" t="s">
        <v>73</v>
      </c>
      <c r="I76" s="343">
        <f t="shared" si="0"/>
        <v>10</v>
      </c>
      <c r="J76" s="324">
        <v>10</v>
      </c>
      <c r="K76" s="344">
        <f t="shared" si="1"/>
        <v>10</v>
      </c>
      <c r="L76" s="178">
        <f t="shared" si="2"/>
        <v>1000000</v>
      </c>
      <c r="M76" s="325">
        <f t="shared" si="3"/>
        <v>2.8225465014536117E-4</v>
      </c>
      <c r="N76" s="39" t="s">
        <v>73</v>
      </c>
    </row>
    <row r="77" spans="2:14">
      <c r="B77" s="367"/>
      <c r="C77" s="370"/>
      <c r="D77" s="324" t="s">
        <v>74</v>
      </c>
      <c r="E77" s="324" t="s">
        <v>93</v>
      </c>
      <c r="F77" s="324">
        <v>113</v>
      </c>
      <c r="G77" s="324">
        <v>131</v>
      </c>
      <c r="H77" s="324" t="s">
        <v>73</v>
      </c>
      <c r="I77" s="343">
        <f t="shared" si="0"/>
        <v>19</v>
      </c>
      <c r="J77" s="324">
        <v>19</v>
      </c>
      <c r="K77" s="344">
        <f t="shared" si="1"/>
        <v>19</v>
      </c>
      <c r="L77" s="178">
        <f t="shared" si="2"/>
        <v>1900000</v>
      </c>
      <c r="M77" s="325">
        <f t="shared" si="3"/>
        <v>5.3628383527618614E-4</v>
      </c>
      <c r="N77" s="39" t="s">
        <v>73</v>
      </c>
    </row>
    <row r="78" spans="2:14">
      <c r="B78" s="368"/>
      <c r="C78" s="371"/>
      <c r="D78" s="324" t="s">
        <v>75</v>
      </c>
      <c r="E78" s="324" t="s">
        <v>94</v>
      </c>
      <c r="F78" s="324">
        <v>2622</v>
      </c>
      <c r="G78" s="324">
        <v>2633</v>
      </c>
      <c r="H78" s="324" t="s">
        <v>73</v>
      </c>
      <c r="I78" s="343">
        <f t="shared" si="0"/>
        <v>12</v>
      </c>
      <c r="J78" s="324">
        <v>12</v>
      </c>
      <c r="K78" s="344">
        <f t="shared" si="1"/>
        <v>12</v>
      </c>
      <c r="L78" s="178">
        <f t="shared" si="2"/>
        <v>1200000</v>
      </c>
      <c r="M78" s="325">
        <f t="shared" si="3"/>
        <v>3.3870558017443336E-4</v>
      </c>
      <c r="N78" s="39" t="s">
        <v>73</v>
      </c>
    </row>
    <row r="79" spans="2:14">
      <c r="B79" s="366">
        <v>4</v>
      </c>
      <c r="C79" s="369" t="s">
        <v>95</v>
      </c>
      <c r="D79" s="324" t="s">
        <v>96</v>
      </c>
      <c r="E79" s="324" t="s">
        <v>97</v>
      </c>
      <c r="F79" s="324">
        <v>181</v>
      </c>
      <c r="G79" s="324">
        <v>190</v>
      </c>
      <c r="H79" s="324" t="s">
        <v>73</v>
      </c>
      <c r="I79" s="343">
        <f t="shared" si="0"/>
        <v>10</v>
      </c>
      <c r="J79" s="324">
        <v>10</v>
      </c>
      <c r="K79" s="344">
        <f t="shared" si="1"/>
        <v>10</v>
      </c>
      <c r="L79" s="178">
        <f t="shared" si="2"/>
        <v>1000000</v>
      </c>
      <c r="M79" s="325">
        <f t="shared" si="3"/>
        <v>2.8225465014536117E-4</v>
      </c>
      <c r="N79" s="39" t="s">
        <v>73</v>
      </c>
    </row>
    <row r="80" spans="2:14">
      <c r="B80" s="367"/>
      <c r="C80" s="370"/>
      <c r="D80" s="324" t="s">
        <v>92</v>
      </c>
      <c r="E80" s="324" t="s">
        <v>97</v>
      </c>
      <c r="F80" s="324">
        <v>1</v>
      </c>
      <c r="G80" s="324">
        <v>100</v>
      </c>
      <c r="H80" s="324" t="s">
        <v>73</v>
      </c>
      <c r="I80" s="343">
        <f t="shared" si="0"/>
        <v>100</v>
      </c>
      <c r="J80" s="324">
        <v>100</v>
      </c>
      <c r="K80" s="344">
        <f t="shared" si="1"/>
        <v>100</v>
      </c>
      <c r="L80" s="178">
        <f t="shared" si="2"/>
        <v>10000000</v>
      </c>
      <c r="M80" s="325">
        <f t="shared" si="3"/>
        <v>2.8225465014536113E-3</v>
      </c>
      <c r="N80" s="39" t="s">
        <v>73</v>
      </c>
    </row>
    <row r="81" spans="2:14">
      <c r="B81" s="367"/>
      <c r="C81" s="370"/>
      <c r="D81" s="324" t="s">
        <v>98</v>
      </c>
      <c r="E81" s="324" t="s">
        <v>97</v>
      </c>
      <c r="F81" s="324">
        <v>105</v>
      </c>
      <c r="G81" s="324">
        <v>119</v>
      </c>
      <c r="H81" s="324" t="s">
        <v>73</v>
      </c>
      <c r="I81" s="343">
        <f t="shared" si="0"/>
        <v>15</v>
      </c>
      <c r="J81" s="324">
        <v>15</v>
      </c>
      <c r="K81" s="344">
        <f t="shared" si="1"/>
        <v>15</v>
      </c>
      <c r="L81" s="178">
        <f t="shared" si="2"/>
        <v>1500000</v>
      </c>
      <c r="M81" s="325">
        <f t="shared" si="3"/>
        <v>4.233819752180417E-4</v>
      </c>
      <c r="N81" s="39" t="s">
        <v>73</v>
      </c>
    </row>
    <row r="82" spans="2:14">
      <c r="B82" s="367"/>
      <c r="C82" s="370"/>
      <c r="D82" s="324" t="s">
        <v>99</v>
      </c>
      <c r="E82" s="324" t="s">
        <v>97</v>
      </c>
      <c r="F82" s="324">
        <v>1</v>
      </c>
      <c r="G82" s="324">
        <v>200</v>
      </c>
      <c r="H82" s="324" t="s">
        <v>73</v>
      </c>
      <c r="I82" s="343">
        <f t="shared" si="0"/>
        <v>200</v>
      </c>
      <c r="J82" s="324">
        <v>200</v>
      </c>
      <c r="K82" s="344">
        <f t="shared" si="1"/>
        <v>200</v>
      </c>
      <c r="L82" s="178">
        <f t="shared" si="2"/>
        <v>20000000</v>
      </c>
      <c r="M82" s="325">
        <f t="shared" si="3"/>
        <v>5.6450930029072225E-3</v>
      </c>
      <c r="N82" s="39" t="s">
        <v>73</v>
      </c>
    </row>
    <row r="83" spans="2:14">
      <c r="B83" s="368"/>
      <c r="C83" s="371"/>
      <c r="D83" s="324" t="s">
        <v>75</v>
      </c>
      <c r="E83" s="324" t="s">
        <v>100</v>
      </c>
      <c r="F83" s="324">
        <v>2634</v>
      </c>
      <c r="G83" s="324">
        <v>2761</v>
      </c>
      <c r="H83" s="324" t="s">
        <v>73</v>
      </c>
      <c r="I83" s="343">
        <f t="shared" si="0"/>
        <v>128</v>
      </c>
      <c r="J83" s="324">
        <v>128</v>
      </c>
      <c r="K83" s="344">
        <f t="shared" si="1"/>
        <v>128</v>
      </c>
      <c r="L83" s="178">
        <f t="shared" si="2"/>
        <v>12800000</v>
      </c>
      <c r="M83" s="325">
        <f t="shared" si="3"/>
        <v>3.6128595218606228E-3</v>
      </c>
      <c r="N83" s="39" t="s">
        <v>73</v>
      </c>
    </row>
    <row r="84" spans="2:14" ht="14.85" customHeight="1">
      <c r="B84" s="366">
        <v>5</v>
      </c>
      <c r="C84" s="366" t="s">
        <v>101</v>
      </c>
      <c r="D84" s="324" t="s">
        <v>72</v>
      </c>
      <c r="E84" s="324" t="s">
        <v>102</v>
      </c>
      <c r="F84" s="324">
        <v>101</v>
      </c>
      <c r="G84" s="324">
        <v>200</v>
      </c>
      <c r="H84" s="324" t="s">
        <v>73</v>
      </c>
      <c r="I84" s="343">
        <f t="shared" si="0"/>
        <v>100</v>
      </c>
      <c r="J84" s="324">
        <v>100</v>
      </c>
      <c r="K84" s="344">
        <f t="shared" si="1"/>
        <v>100</v>
      </c>
      <c r="L84" s="178">
        <f t="shared" si="2"/>
        <v>10000000</v>
      </c>
      <c r="M84" s="325">
        <f t="shared" si="3"/>
        <v>2.8225465014536113E-3</v>
      </c>
      <c r="N84" s="39" t="s">
        <v>73</v>
      </c>
    </row>
    <row r="85" spans="2:14" ht="14.85" customHeight="1">
      <c r="B85" s="367"/>
      <c r="C85" s="367"/>
      <c r="D85" s="324" t="s">
        <v>71</v>
      </c>
      <c r="E85" s="324" t="s">
        <v>102</v>
      </c>
      <c r="F85" s="324">
        <v>51</v>
      </c>
      <c r="G85" s="324">
        <v>150</v>
      </c>
      <c r="H85" s="324" t="s">
        <v>73</v>
      </c>
      <c r="I85" s="343">
        <f t="shared" si="0"/>
        <v>100</v>
      </c>
      <c r="J85" s="324">
        <v>100</v>
      </c>
      <c r="K85" s="344">
        <f t="shared" si="1"/>
        <v>100</v>
      </c>
      <c r="L85" s="178">
        <f t="shared" si="2"/>
        <v>10000000</v>
      </c>
      <c r="M85" s="325">
        <f t="shared" si="3"/>
        <v>2.8225465014536113E-3</v>
      </c>
      <c r="N85" s="39" t="s">
        <v>73</v>
      </c>
    </row>
    <row r="86" spans="2:14" ht="14.85" customHeight="1">
      <c r="B86" s="367"/>
      <c r="C86" s="367"/>
      <c r="D86" s="324" t="s">
        <v>71</v>
      </c>
      <c r="E86" s="324" t="s">
        <v>102</v>
      </c>
      <c r="F86" s="324">
        <v>161</v>
      </c>
      <c r="G86" s="324">
        <v>165</v>
      </c>
      <c r="H86" s="324" t="s">
        <v>73</v>
      </c>
      <c r="I86" s="343">
        <f t="shared" si="0"/>
        <v>5</v>
      </c>
      <c r="J86" s="324">
        <v>5</v>
      </c>
      <c r="K86" s="344">
        <f t="shared" si="1"/>
        <v>5</v>
      </c>
      <c r="L86" s="178">
        <f t="shared" si="2"/>
        <v>500000</v>
      </c>
      <c r="M86" s="325">
        <f t="shared" si="3"/>
        <v>1.4112732507268059E-4</v>
      </c>
      <c r="N86" s="39" t="s">
        <v>73</v>
      </c>
    </row>
    <row r="87" spans="2:14" ht="14.85" customHeight="1">
      <c r="B87" s="367"/>
      <c r="C87" s="367"/>
      <c r="D87" s="324" t="s">
        <v>71</v>
      </c>
      <c r="E87" s="324" t="s">
        <v>102</v>
      </c>
      <c r="F87" s="324">
        <v>181</v>
      </c>
      <c r="G87" s="324">
        <v>195</v>
      </c>
      <c r="H87" s="324" t="s">
        <v>73</v>
      </c>
      <c r="I87" s="343">
        <f t="shared" si="0"/>
        <v>15</v>
      </c>
      <c r="J87" s="324">
        <v>15</v>
      </c>
      <c r="K87" s="344">
        <f t="shared" si="1"/>
        <v>15</v>
      </c>
      <c r="L87" s="178">
        <f t="shared" si="2"/>
        <v>1500000</v>
      </c>
      <c r="M87" s="325">
        <f t="shared" si="3"/>
        <v>4.233819752180417E-4</v>
      </c>
      <c r="N87" s="39" t="s">
        <v>73</v>
      </c>
    </row>
    <row r="88" spans="2:14" ht="14.85" customHeight="1">
      <c r="B88" s="367"/>
      <c r="C88" s="367"/>
      <c r="D88" s="324" t="s">
        <v>71</v>
      </c>
      <c r="E88" s="324" t="s">
        <v>102</v>
      </c>
      <c r="F88" s="324">
        <v>200</v>
      </c>
      <c r="G88" s="324">
        <v>200</v>
      </c>
      <c r="H88" s="324" t="s">
        <v>73</v>
      </c>
      <c r="I88" s="343">
        <f t="shared" si="0"/>
        <v>1</v>
      </c>
      <c r="J88" s="324">
        <v>1</v>
      </c>
      <c r="K88" s="344">
        <f t="shared" si="1"/>
        <v>1</v>
      </c>
      <c r="L88" s="178">
        <f t="shared" si="2"/>
        <v>100000</v>
      </c>
      <c r="M88" s="325">
        <f t="shared" si="3"/>
        <v>2.8225465014536116E-5</v>
      </c>
      <c r="N88" s="39" t="s">
        <v>73</v>
      </c>
    </row>
    <row r="89" spans="2:14" ht="14.85" customHeight="1">
      <c r="B89" s="367"/>
      <c r="C89" s="367"/>
      <c r="D89" s="324" t="s">
        <v>96</v>
      </c>
      <c r="E89" s="324" t="s">
        <v>102</v>
      </c>
      <c r="F89" s="324">
        <v>1</v>
      </c>
      <c r="G89" s="324">
        <v>100</v>
      </c>
      <c r="H89" s="324" t="s">
        <v>73</v>
      </c>
      <c r="I89" s="343">
        <f t="shared" si="0"/>
        <v>100</v>
      </c>
      <c r="J89" s="324">
        <v>100</v>
      </c>
      <c r="K89" s="344">
        <f t="shared" si="1"/>
        <v>100</v>
      </c>
      <c r="L89" s="178">
        <f t="shared" si="2"/>
        <v>10000000</v>
      </c>
      <c r="M89" s="325">
        <f t="shared" si="3"/>
        <v>2.8225465014536113E-3</v>
      </c>
      <c r="N89" s="39" t="s">
        <v>73</v>
      </c>
    </row>
    <row r="90" spans="2:14" ht="14.85" customHeight="1">
      <c r="B90" s="367"/>
      <c r="C90" s="367"/>
      <c r="D90" s="324" t="s">
        <v>96</v>
      </c>
      <c r="E90" s="324" t="s">
        <v>79</v>
      </c>
      <c r="F90" s="324">
        <v>151</v>
      </c>
      <c r="G90" s="324">
        <v>180</v>
      </c>
      <c r="H90" s="324" t="s">
        <v>73</v>
      </c>
      <c r="I90" s="343">
        <f t="shared" si="0"/>
        <v>30</v>
      </c>
      <c r="J90" s="324">
        <v>30</v>
      </c>
      <c r="K90" s="344">
        <f t="shared" si="1"/>
        <v>30</v>
      </c>
      <c r="L90" s="178">
        <f t="shared" si="2"/>
        <v>3000000</v>
      </c>
      <c r="M90" s="325">
        <f t="shared" si="3"/>
        <v>8.467639504360834E-4</v>
      </c>
      <c r="N90" s="39" t="s">
        <v>73</v>
      </c>
    </row>
    <row r="91" spans="2:14" ht="14.85" customHeight="1">
      <c r="B91" s="367"/>
      <c r="C91" s="367"/>
      <c r="D91" s="324" t="s">
        <v>96</v>
      </c>
      <c r="E91" s="324" t="s">
        <v>79</v>
      </c>
      <c r="F91" s="324">
        <v>191</v>
      </c>
      <c r="G91" s="324">
        <v>199</v>
      </c>
      <c r="H91" s="324" t="s">
        <v>73</v>
      </c>
      <c r="I91" s="343">
        <f t="shared" si="0"/>
        <v>9</v>
      </c>
      <c r="J91" s="324">
        <v>9</v>
      </c>
      <c r="K91" s="344">
        <f t="shared" si="1"/>
        <v>9</v>
      </c>
      <c r="L91" s="178">
        <f t="shared" si="2"/>
        <v>900000</v>
      </c>
      <c r="M91" s="325">
        <f t="shared" si="3"/>
        <v>2.5402918513082502E-4</v>
      </c>
      <c r="N91" s="39" t="s">
        <v>73</v>
      </c>
    </row>
    <row r="92" spans="2:14" ht="14.85" customHeight="1">
      <c r="B92" s="367"/>
      <c r="C92" s="367"/>
      <c r="D92" s="324" t="s">
        <v>92</v>
      </c>
      <c r="E92" s="324" t="s">
        <v>79</v>
      </c>
      <c r="F92" s="324">
        <v>101</v>
      </c>
      <c r="G92" s="324">
        <v>190</v>
      </c>
      <c r="H92" s="324" t="s">
        <v>73</v>
      </c>
      <c r="I92" s="343">
        <f t="shared" si="0"/>
        <v>90</v>
      </c>
      <c r="J92" s="324">
        <v>90</v>
      </c>
      <c r="K92" s="344">
        <f t="shared" si="1"/>
        <v>90</v>
      </c>
      <c r="L92" s="178">
        <f t="shared" si="2"/>
        <v>9000000</v>
      </c>
      <c r="M92" s="325">
        <f t="shared" si="3"/>
        <v>2.5402918513082501E-3</v>
      </c>
      <c r="N92" s="39" t="s">
        <v>73</v>
      </c>
    </row>
    <row r="93" spans="2:14" ht="14.85" customHeight="1">
      <c r="B93" s="367"/>
      <c r="C93" s="367"/>
      <c r="D93" s="324" t="s">
        <v>103</v>
      </c>
      <c r="E93" s="324" t="s">
        <v>79</v>
      </c>
      <c r="F93" s="324">
        <v>101</v>
      </c>
      <c r="G93" s="324">
        <v>170</v>
      </c>
      <c r="H93" s="324" t="s">
        <v>73</v>
      </c>
      <c r="I93" s="343">
        <f t="shared" si="0"/>
        <v>70</v>
      </c>
      <c r="J93" s="324">
        <v>70</v>
      </c>
      <c r="K93" s="344">
        <f t="shared" si="1"/>
        <v>70</v>
      </c>
      <c r="L93" s="178">
        <f t="shared" si="2"/>
        <v>7000000</v>
      </c>
      <c r="M93" s="325">
        <f t="shared" si="3"/>
        <v>1.9757825510175282E-3</v>
      </c>
      <c r="N93" s="39" t="s">
        <v>73</v>
      </c>
    </row>
    <row r="94" spans="2:14" ht="14.85" customHeight="1">
      <c r="B94" s="367"/>
      <c r="C94" s="367"/>
      <c r="D94" s="324" t="s">
        <v>104</v>
      </c>
      <c r="E94" s="324" t="s">
        <v>79</v>
      </c>
      <c r="F94" s="324">
        <v>1</v>
      </c>
      <c r="G94" s="324">
        <v>50</v>
      </c>
      <c r="H94" s="324" t="s">
        <v>73</v>
      </c>
      <c r="I94" s="343">
        <f t="shared" si="0"/>
        <v>50</v>
      </c>
      <c r="J94" s="324">
        <v>50</v>
      </c>
      <c r="K94" s="344">
        <f t="shared" si="1"/>
        <v>50</v>
      </c>
      <c r="L94" s="178">
        <f t="shared" si="2"/>
        <v>5000000</v>
      </c>
      <c r="M94" s="325">
        <f t="shared" si="3"/>
        <v>1.4112732507268056E-3</v>
      </c>
      <c r="N94" s="39" t="s">
        <v>73</v>
      </c>
    </row>
    <row r="95" spans="2:14" ht="14.85" customHeight="1">
      <c r="B95" s="367"/>
      <c r="C95" s="367"/>
      <c r="D95" s="324" t="s">
        <v>85</v>
      </c>
      <c r="E95" s="324" t="s">
        <v>79</v>
      </c>
      <c r="F95" s="324">
        <v>1</v>
      </c>
      <c r="G95" s="324">
        <v>200</v>
      </c>
      <c r="H95" s="324" t="s">
        <v>73</v>
      </c>
      <c r="I95" s="343">
        <f t="shared" ref="I95:I126" si="4">IF(H95="Ordinaria",+J95,0)</f>
        <v>200</v>
      </c>
      <c r="J95" s="324">
        <v>200</v>
      </c>
      <c r="K95" s="344">
        <f t="shared" ref="K95:K126" si="5">+I95</f>
        <v>200</v>
      </c>
      <c r="L95" s="178">
        <f t="shared" ref="L95:L126" si="6">J95*100000</f>
        <v>20000000</v>
      </c>
      <c r="M95" s="325">
        <f t="shared" ref="M95:M126" si="7">+L95/$L$247</f>
        <v>5.6450930029072225E-3</v>
      </c>
      <c r="N95" s="39" t="s">
        <v>73</v>
      </c>
    </row>
    <row r="96" spans="2:14" ht="14.85" customHeight="1">
      <c r="B96" s="367"/>
      <c r="C96" s="367"/>
      <c r="D96" s="324" t="s">
        <v>100</v>
      </c>
      <c r="E96" s="324" t="s">
        <v>74</v>
      </c>
      <c r="F96" s="324">
        <v>1</v>
      </c>
      <c r="G96" s="324">
        <v>200</v>
      </c>
      <c r="H96" s="324" t="s">
        <v>73</v>
      </c>
      <c r="I96" s="343">
        <f t="shared" si="4"/>
        <v>200</v>
      </c>
      <c r="J96" s="324">
        <v>200</v>
      </c>
      <c r="K96" s="344">
        <f t="shared" si="5"/>
        <v>200</v>
      </c>
      <c r="L96" s="178">
        <f t="shared" si="6"/>
        <v>20000000</v>
      </c>
      <c r="M96" s="325">
        <f t="shared" si="7"/>
        <v>5.6450930029072225E-3</v>
      </c>
      <c r="N96" s="39" t="s">
        <v>73</v>
      </c>
    </row>
    <row r="97" spans="2:14" ht="14.85" customHeight="1">
      <c r="B97" s="367"/>
      <c r="C97" s="367"/>
      <c r="D97" s="324" t="s">
        <v>105</v>
      </c>
      <c r="E97" s="324" t="s">
        <v>74</v>
      </c>
      <c r="F97" s="324">
        <v>1</v>
      </c>
      <c r="G97" s="324">
        <v>200</v>
      </c>
      <c r="H97" s="324" t="s">
        <v>73</v>
      </c>
      <c r="I97" s="343">
        <f t="shared" si="4"/>
        <v>200</v>
      </c>
      <c r="J97" s="324">
        <v>200</v>
      </c>
      <c r="K97" s="344">
        <f t="shared" si="5"/>
        <v>200</v>
      </c>
      <c r="L97" s="178">
        <f t="shared" si="6"/>
        <v>20000000</v>
      </c>
      <c r="M97" s="325">
        <f t="shared" si="7"/>
        <v>5.6450930029072225E-3</v>
      </c>
      <c r="N97" s="39" t="s">
        <v>73</v>
      </c>
    </row>
    <row r="98" spans="2:14" ht="14.85" customHeight="1">
      <c r="B98" s="367"/>
      <c r="C98" s="367"/>
      <c r="D98" s="324" t="s">
        <v>106</v>
      </c>
      <c r="E98" s="324" t="s">
        <v>74</v>
      </c>
      <c r="F98" s="324">
        <v>1</v>
      </c>
      <c r="G98" s="324">
        <v>200</v>
      </c>
      <c r="H98" s="324" t="s">
        <v>73</v>
      </c>
      <c r="I98" s="343">
        <f t="shared" si="4"/>
        <v>200</v>
      </c>
      <c r="J98" s="324">
        <v>200</v>
      </c>
      <c r="K98" s="344">
        <f t="shared" si="5"/>
        <v>200</v>
      </c>
      <c r="L98" s="178">
        <f t="shared" si="6"/>
        <v>20000000</v>
      </c>
      <c r="M98" s="325">
        <f t="shared" si="7"/>
        <v>5.6450930029072225E-3</v>
      </c>
      <c r="N98" s="39" t="s">
        <v>73</v>
      </c>
    </row>
    <row r="99" spans="2:14" ht="14.85" customHeight="1">
      <c r="B99" s="367"/>
      <c r="C99" s="367"/>
      <c r="D99" s="324" t="s">
        <v>107</v>
      </c>
      <c r="E99" s="324" t="s">
        <v>74</v>
      </c>
      <c r="F99" s="324">
        <v>1</v>
      </c>
      <c r="G99" s="324">
        <v>200</v>
      </c>
      <c r="H99" s="324" t="s">
        <v>73</v>
      </c>
      <c r="I99" s="343">
        <f t="shared" si="4"/>
        <v>200</v>
      </c>
      <c r="J99" s="324">
        <v>200</v>
      </c>
      <c r="K99" s="344">
        <f t="shared" si="5"/>
        <v>200</v>
      </c>
      <c r="L99" s="178">
        <f t="shared" si="6"/>
        <v>20000000</v>
      </c>
      <c r="M99" s="325">
        <f t="shared" si="7"/>
        <v>5.6450930029072225E-3</v>
      </c>
      <c r="N99" s="39" t="s">
        <v>73</v>
      </c>
    </row>
    <row r="100" spans="2:14" ht="14.85" customHeight="1">
      <c r="B100" s="367"/>
      <c r="C100" s="367"/>
      <c r="D100" s="324" t="s">
        <v>108</v>
      </c>
      <c r="E100" s="324" t="s">
        <v>74</v>
      </c>
      <c r="F100" s="324">
        <v>1</v>
      </c>
      <c r="G100" s="324">
        <v>200</v>
      </c>
      <c r="H100" s="324" t="s">
        <v>73</v>
      </c>
      <c r="I100" s="343">
        <f t="shared" si="4"/>
        <v>200</v>
      </c>
      <c r="J100" s="324">
        <v>200</v>
      </c>
      <c r="K100" s="344">
        <f t="shared" si="5"/>
        <v>200</v>
      </c>
      <c r="L100" s="178">
        <f t="shared" si="6"/>
        <v>20000000</v>
      </c>
      <c r="M100" s="325">
        <f t="shared" si="7"/>
        <v>5.6450930029072225E-3</v>
      </c>
      <c r="N100" s="39" t="s">
        <v>73</v>
      </c>
    </row>
    <row r="101" spans="2:14" ht="14.85" customHeight="1">
      <c r="B101" s="367"/>
      <c r="C101" s="367"/>
      <c r="D101" s="324" t="s">
        <v>109</v>
      </c>
      <c r="E101" s="324" t="s">
        <v>74</v>
      </c>
      <c r="F101" s="324">
        <v>1</v>
      </c>
      <c r="G101" s="324">
        <v>200</v>
      </c>
      <c r="H101" s="324" t="s">
        <v>73</v>
      </c>
      <c r="I101" s="343">
        <f t="shared" si="4"/>
        <v>200</v>
      </c>
      <c r="J101" s="324">
        <v>200</v>
      </c>
      <c r="K101" s="344">
        <f t="shared" si="5"/>
        <v>200</v>
      </c>
      <c r="L101" s="178">
        <f t="shared" si="6"/>
        <v>20000000</v>
      </c>
      <c r="M101" s="325">
        <f t="shared" si="7"/>
        <v>5.6450930029072225E-3</v>
      </c>
      <c r="N101" s="39" t="s">
        <v>73</v>
      </c>
    </row>
    <row r="102" spans="2:14" ht="14.85" customHeight="1">
      <c r="B102" s="367"/>
      <c r="C102" s="367"/>
      <c r="D102" s="324" t="s">
        <v>110</v>
      </c>
      <c r="E102" s="324" t="s">
        <v>111</v>
      </c>
      <c r="F102" s="324">
        <v>1</v>
      </c>
      <c r="G102" s="324">
        <v>200</v>
      </c>
      <c r="H102" s="324" t="s">
        <v>73</v>
      </c>
      <c r="I102" s="343">
        <f t="shared" si="4"/>
        <v>200</v>
      </c>
      <c r="J102" s="324">
        <v>200</v>
      </c>
      <c r="K102" s="344">
        <f t="shared" si="5"/>
        <v>200</v>
      </c>
      <c r="L102" s="178">
        <f t="shared" si="6"/>
        <v>20000000</v>
      </c>
      <c r="M102" s="325">
        <f t="shared" si="7"/>
        <v>5.6450930029072225E-3</v>
      </c>
      <c r="N102" s="39" t="s">
        <v>73</v>
      </c>
    </row>
    <row r="103" spans="2:14" ht="14.85" customHeight="1">
      <c r="B103" s="367"/>
      <c r="C103" s="367"/>
      <c r="D103" s="324" t="s">
        <v>112</v>
      </c>
      <c r="E103" s="324" t="s">
        <v>111</v>
      </c>
      <c r="F103" s="324">
        <v>1</v>
      </c>
      <c r="G103" s="324">
        <v>192</v>
      </c>
      <c r="H103" s="324" t="s">
        <v>73</v>
      </c>
      <c r="I103" s="343">
        <f t="shared" si="4"/>
        <v>192</v>
      </c>
      <c r="J103" s="324">
        <v>192</v>
      </c>
      <c r="K103" s="344">
        <f t="shared" si="5"/>
        <v>192</v>
      </c>
      <c r="L103" s="178">
        <f t="shared" si="6"/>
        <v>19200000</v>
      </c>
      <c r="M103" s="325">
        <f t="shared" si="7"/>
        <v>5.4192892827909338E-3</v>
      </c>
      <c r="N103" s="39" t="s">
        <v>73</v>
      </c>
    </row>
    <row r="104" spans="2:14" ht="14.85" customHeight="1">
      <c r="B104" s="367"/>
      <c r="C104" s="367"/>
      <c r="D104" s="324" t="s">
        <v>113</v>
      </c>
      <c r="E104" s="324" t="s">
        <v>111</v>
      </c>
      <c r="F104" s="324">
        <v>1</v>
      </c>
      <c r="G104" s="324">
        <v>200</v>
      </c>
      <c r="H104" s="324" t="s">
        <v>73</v>
      </c>
      <c r="I104" s="343">
        <f t="shared" si="4"/>
        <v>200</v>
      </c>
      <c r="J104" s="324">
        <v>200</v>
      </c>
      <c r="K104" s="344">
        <f t="shared" si="5"/>
        <v>200</v>
      </c>
      <c r="L104" s="178">
        <f t="shared" si="6"/>
        <v>20000000</v>
      </c>
      <c r="M104" s="325">
        <f t="shared" si="7"/>
        <v>5.6450930029072225E-3</v>
      </c>
      <c r="N104" s="39" t="s">
        <v>73</v>
      </c>
    </row>
    <row r="105" spans="2:14" ht="14.85" customHeight="1">
      <c r="B105" s="367"/>
      <c r="C105" s="367"/>
      <c r="D105" s="324" t="s">
        <v>114</v>
      </c>
      <c r="E105" s="324" t="s">
        <v>111</v>
      </c>
      <c r="F105" s="324">
        <v>1</v>
      </c>
      <c r="G105" s="324">
        <v>200</v>
      </c>
      <c r="H105" s="324" t="s">
        <v>73</v>
      </c>
      <c r="I105" s="343">
        <f t="shared" si="4"/>
        <v>200</v>
      </c>
      <c r="J105" s="324">
        <v>200</v>
      </c>
      <c r="K105" s="344">
        <f t="shared" si="5"/>
        <v>200</v>
      </c>
      <c r="L105" s="178">
        <f t="shared" si="6"/>
        <v>20000000</v>
      </c>
      <c r="M105" s="325">
        <f t="shared" si="7"/>
        <v>5.6450930029072225E-3</v>
      </c>
      <c r="N105" s="39" t="s">
        <v>73</v>
      </c>
    </row>
    <row r="106" spans="2:14" ht="14.85" customHeight="1">
      <c r="B106" s="367"/>
      <c r="C106" s="367"/>
      <c r="D106" s="324" t="s">
        <v>115</v>
      </c>
      <c r="E106" s="324" t="s">
        <v>111</v>
      </c>
      <c r="F106" s="324">
        <v>1</v>
      </c>
      <c r="G106" s="324">
        <v>200</v>
      </c>
      <c r="H106" s="324" t="s">
        <v>73</v>
      </c>
      <c r="I106" s="343">
        <f t="shared" si="4"/>
        <v>200</v>
      </c>
      <c r="J106" s="324">
        <v>200</v>
      </c>
      <c r="K106" s="344">
        <f t="shared" si="5"/>
        <v>200</v>
      </c>
      <c r="L106" s="178">
        <f t="shared" si="6"/>
        <v>20000000</v>
      </c>
      <c r="M106" s="325">
        <f t="shared" si="7"/>
        <v>5.6450930029072225E-3</v>
      </c>
      <c r="N106" s="39" t="s">
        <v>73</v>
      </c>
    </row>
    <row r="107" spans="2:14" ht="14.85" customHeight="1">
      <c r="B107" s="367"/>
      <c r="C107" s="367"/>
      <c r="D107" s="324" t="s">
        <v>116</v>
      </c>
      <c r="E107" s="324" t="s">
        <v>111</v>
      </c>
      <c r="F107" s="324">
        <v>1</v>
      </c>
      <c r="G107" s="324">
        <v>200</v>
      </c>
      <c r="H107" s="324" t="s">
        <v>73</v>
      </c>
      <c r="I107" s="343">
        <f t="shared" si="4"/>
        <v>200</v>
      </c>
      <c r="J107" s="324">
        <v>200</v>
      </c>
      <c r="K107" s="344">
        <f t="shared" si="5"/>
        <v>200</v>
      </c>
      <c r="L107" s="178">
        <f t="shared" si="6"/>
        <v>20000000</v>
      </c>
      <c r="M107" s="325">
        <f t="shared" si="7"/>
        <v>5.6450930029072225E-3</v>
      </c>
      <c r="N107" s="39" t="s">
        <v>73</v>
      </c>
    </row>
    <row r="108" spans="2:14" ht="14.85" customHeight="1">
      <c r="B108" s="367"/>
      <c r="C108" s="367"/>
      <c r="D108" s="324" t="s">
        <v>117</v>
      </c>
      <c r="E108" s="324" t="s">
        <v>88</v>
      </c>
      <c r="F108" s="324">
        <v>1</v>
      </c>
      <c r="G108" s="324">
        <v>200</v>
      </c>
      <c r="H108" s="324" t="s">
        <v>73</v>
      </c>
      <c r="I108" s="343">
        <f t="shared" si="4"/>
        <v>200</v>
      </c>
      <c r="J108" s="324">
        <v>200</v>
      </c>
      <c r="K108" s="344">
        <f t="shared" si="5"/>
        <v>200</v>
      </c>
      <c r="L108" s="178">
        <f t="shared" si="6"/>
        <v>20000000</v>
      </c>
      <c r="M108" s="325">
        <f t="shared" si="7"/>
        <v>5.6450930029072225E-3</v>
      </c>
      <c r="N108" s="39" t="s">
        <v>73</v>
      </c>
    </row>
    <row r="109" spans="2:14" ht="14.85" customHeight="1">
      <c r="B109" s="367"/>
      <c r="C109" s="367"/>
      <c r="D109" s="324" t="s">
        <v>118</v>
      </c>
      <c r="E109" s="324" t="s">
        <v>88</v>
      </c>
      <c r="F109" s="324">
        <v>1</v>
      </c>
      <c r="G109" s="324">
        <v>200</v>
      </c>
      <c r="H109" s="324" t="s">
        <v>73</v>
      </c>
      <c r="I109" s="343">
        <f t="shared" si="4"/>
        <v>200</v>
      </c>
      <c r="J109" s="324">
        <v>200</v>
      </c>
      <c r="K109" s="344">
        <f t="shared" si="5"/>
        <v>200</v>
      </c>
      <c r="L109" s="178">
        <f t="shared" si="6"/>
        <v>20000000</v>
      </c>
      <c r="M109" s="325">
        <f t="shared" si="7"/>
        <v>5.6450930029072225E-3</v>
      </c>
      <c r="N109" s="39" t="s">
        <v>73</v>
      </c>
    </row>
    <row r="110" spans="2:14" ht="14.85" customHeight="1">
      <c r="B110" s="367"/>
      <c r="C110" s="367"/>
      <c r="D110" s="324" t="s">
        <v>75</v>
      </c>
      <c r="E110" s="324" t="s">
        <v>105</v>
      </c>
      <c r="F110" s="324">
        <v>2763</v>
      </c>
      <c r="G110" s="324">
        <v>5000</v>
      </c>
      <c r="H110" s="324" t="s">
        <v>73</v>
      </c>
      <c r="I110" s="343">
        <f t="shared" si="4"/>
        <v>2238</v>
      </c>
      <c r="J110" s="324">
        <v>2238</v>
      </c>
      <c r="K110" s="344">
        <f t="shared" si="5"/>
        <v>2238</v>
      </c>
      <c r="L110" s="178">
        <f t="shared" si="6"/>
        <v>223800000</v>
      </c>
      <c r="M110" s="325">
        <f t="shared" si="7"/>
        <v>6.3168590702531821E-2</v>
      </c>
      <c r="N110" s="39" t="s">
        <v>73</v>
      </c>
    </row>
    <row r="111" spans="2:14" ht="14.85" customHeight="1">
      <c r="B111" s="367"/>
      <c r="C111" s="367"/>
      <c r="D111" s="324" t="s">
        <v>119</v>
      </c>
      <c r="E111" s="324" t="s">
        <v>105</v>
      </c>
      <c r="F111" s="324">
        <v>1</v>
      </c>
      <c r="G111" s="324">
        <v>170</v>
      </c>
      <c r="H111" s="324" t="s">
        <v>73</v>
      </c>
      <c r="I111" s="343">
        <f t="shared" si="4"/>
        <v>170</v>
      </c>
      <c r="J111" s="324">
        <v>170</v>
      </c>
      <c r="K111" s="344">
        <f t="shared" si="5"/>
        <v>170</v>
      </c>
      <c r="L111" s="178">
        <f t="shared" si="6"/>
        <v>17000000</v>
      </c>
      <c r="M111" s="325">
        <f t="shared" si="7"/>
        <v>4.7983290524711399E-3</v>
      </c>
      <c r="N111" s="39" t="s">
        <v>73</v>
      </c>
    </row>
    <row r="112" spans="2:14" ht="14.85" customHeight="1">
      <c r="B112" s="367"/>
      <c r="C112" s="367"/>
      <c r="D112" s="324" t="s">
        <v>90</v>
      </c>
      <c r="E112" s="324" t="s">
        <v>96</v>
      </c>
      <c r="F112" s="324">
        <v>1</v>
      </c>
      <c r="G112" s="324">
        <v>200</v>
      </c>
      <c r="H112" s="324" t="s">
        <v>73</v>
      </c>
      <c r="I112" s="343">
        <f t="shared" si="4"/>
        <v>200</v>
      </c>
      <c r="J112" s="324">
        <v>200</v>
      </c>
      <c r="K112" s="344">
        <f t="shared" si="5"/>
        <v>200</v>
      </c>
      <c r="L112" s="178">
        <f t="shared" si="6"/>
        <v>20000000</v>
      </c>
      <c r="M112" s="325">
        <f t="shared" si="7"/>
        <v>5.6450930029072225E-3</v>
      </c>
      <c r="N112" s="39" t="s">
        <v>73</v>
      </c>
    </row>
    <row r="113" spans="2:14" ht="14.85" customHeight="1">
      <c r="B113" s="367"/>
      <c r="C113" s="367"/>
      <c r="D113" s="324" t="s">
        <v>120</v>
      </c>
      <c r="E113" s="324" t="s">
        <v>96</v>
      </c>
      <c r="F113" s="324">
        <v>1</v>
      </c>
      <c r="G113" s="324">
        <v>200</v>
      </c>
      <c r="H113" s="324" t="s">
        <v>73</v>
      </c>
      <c r="I113" s="343">
        <f t="shared" si="4"/>
        <v>200</v>
      </c>
      <c r="J113" s="324">
        <v>200</v>
      </c>
      <c r="K113" s="344">
        <f t="shared" si="5"/>
        <v>200</v>
      </c>
      <c r="L113" s="178">
        <f t="shared" si="6"/>
        <v>20000000</v>
      </c>
      <c r="M113" s="325">
        <f t="shared" si="7"/>
        <v>5.6450930029072225E-3</v>
      </c>
      <c r="N113" s="39" t="s">
        <v>73</v>
      </c>
    </row>
    <row r="114" spans="2:14" ht="14.85" customHeight="1">
      <c r="B114" s="367"/>
      <c r="C114" s="367"/>
      <c r="D114" s="324" t="s">
        <v>121</v>
      </c>
      <c r="E114" s="324" t="s">
        <v>96</v>
      </c>
      <c r="F114" s="324">
        <v>1</v>
      </c>
      <c r="G114" s="324">
        <v>200</v>
      </c>
      <c r="H114" s="324" t="s">
        <v>73</v>
      </c>
      <c r="I114" s="343">
        <f t="shared" si="4"/>
        <v>200</v>
      </c>
      <c r="J114" s="324">
        <v>200</v>
      </c>
      <c r="K114" s="344">
        <f t="shared" si="5"/>
        <v>200</v>
      </c>
      <c r="L114" s="178">
        <f t="shared" si="6"/>
        <v>20000000</v>
      </c>
      <c r="M114" s="325">
        <f t="shared" si="7"/>
        <v>5.6450930029072225E-3</v>
      </c>
      <c r="N114" s="39" t="s">
        <v>73</v>
      </c>
    </row>
    <row r="115" spans="2:14" ht="14.85" customHeight="1">
      <c r="B115" s="367"/>
      <c r="C115" s="367"/>
      <c r="D115" s="324" t="s">
        <v>122</v>
      </c>
      <c r="E115" s="324" t="s">
        <v>96</v>
      </c>
      <c r="F115" s="324">
        <v>1</v>
      </c>
      <c r="G115" s="324">
        <v>200</v>
      </c>
      <c r="H115" s="324" t="s">
        <v>73</v>
      </c>
      <c r="I115" s="343">
        <f t="shared" si="4"/>
        <v>200</v>
      </c>
      <c r="J115" s="324">
        <v>200</v>
      </c>
      <c r="K115" s="344">
        <f t="shared" si="5"/>
        <v>200</v>
      </c>
      <c r="L115" s="178">
        <f t="shared" si="6"/>
        <v>20000000</v>
      </c>
      <c r="M115" s="325">
        <f t="shared" si="7"/>
        <v>5.6450930029072225E-3</v>
      </c>
      <c r="N115" s="39" t="s">
        <v>73</v>
      </c>
    </row>
    <row r="116" spans="2:14" ht="14.85" customHeight="1">
      <c r="B116" s="367"/>
      <c r="C116" s="367"/>
      <c r="D116" s="324" t="s">
        <v>84</v>
      </c>
      <c r="E116" s="324" t="s">
        <v>96</v>
      </c>
      <c r="F116" s="324">
        <v>1</v>
      </c>
      <c r="G116" s="324">
        <v>200</v>
      </c>
      <c r="H116" s="324" t="s">
        <v>73</v>
      </c>
      <c r="I116" s="343">
        <f t="shared" si="4"/>
        <v>200</v>
      </c>
      <c r="J116" s="324">
        <v>200</v>
      </c>
      <c r="K116" s="344">
        <f t="shared" si="5"/>
        <v>200</v>
      </c>
      <c r="L116" s="178">
        <f t="shared" si="6"/>
        <v>20000000</v>
      </c>
      <c r="M116" s="325">
        <f t="shared" si="7"/>
        <v>5.6450930029072225E-3</v>
      </c>
      <c r="N116" s="39" t="s">
        <v>73</v>
      </c>
    </row>
    <row r="117" spans="2:14" ht="14.85" customHeight="1">
      <c r="B117" s="367"/>
      <c r="C117" s="367"/>
      <c r="D117" s="324" t="s">
        <v>123</v>
      </c>
      <c r="E117" s="324" t="s">
        <v>96</v>
      </c>
      <c r="F117" s="324">
        <v>1</v>
      </c>
      <c r="G117" s="324">
        <v>200</v>
      </c>
      <c r="H117" s="324" t="s">
        <v>73</v>
      </c>
      <c r="I117" s="343">
        <f t="shared" si="4"/>
        <v>200</v>
      </c>
      <c r="J117" s="324">
        <v>200</v>
      </c>
      <c r="K117" s="344">
        <f t="shared" si="5"/>
        <v>200</v>
      </c>
      <c r="L117" s="178">
        <f t="shared" si="6"/>
        <v>20000000</v>
      </c>
      <c r="M117" s="325">
        <f t="shared" si="7"/>
        <v>5.6450930029072225E-3</v>
      </c>
      <c r="N117" s="39" t="s">
        <v>73</v>
      </c>
    </row>
    <row r="118" spans="2:14" ht="14.85" customHeight="1">
      <c r="B118" s="367"/>
      <c r="C118" s="367"/>
      <c r="D118" s="324" t="s">
        <v>124</v>
      </c>
      <c r="E118" s="324" t="s">
        <v>92</v>
      </c>
      <c r="F118" s="324">
        <v>1</v>
      </c>
      <c r="G118" s="324">
        <v>200</v>
      </c>
      <c r="H118" s="324" t="s">
        <v>73</v>
      </c>
      <c r="I118" s="343">
        <f t="shared" si="4"/>
        <v>200</v>
      </c>
      <c r="J118" s="324">
        <v>200</v>
      </c>
      <c r="K118" s="344">
        <f t="shared" si="5"/>
        <v>200</v>
      </c>
      <c r="L118" s="178">
        <f t="shared" si="6"/>
        <v>20000000</v>
      </c>
      <c r="M118" s="325">
        <f t="shared" si="7"/>
        <v>5.6450930029072225E-3</v>
      </c>
      <c r="N118" s="39" t="s">
        <v>73</v>
      </c>
    </row>
    <row r="119" spans="2:14" ht="14.85" customHeight="1">
      <c r="B119" s="367"/>
      <c r="C119" s="367"/>
      <c r="D119" s="324" t="s">
        <v>76</v>
      </c>
      <c r="E119" s="324" t="s">
        <v>92</v>
      </c>
      <c r="F119" s="324">
        <v>1</v>
      </c>
      <c r="G119" s="324">
        <v>200</v>
      </c>
      <c r="H119" s="324" t="s">
        <v>73</v>
      </c>
      <c r="I119" s="343">
        <f t="shared" si="4"/>
        <v>200</v>
      </c>
      <c r="J119" s="324">
        <v>200</v>
      </c>
      <c r="K119" s="344">
        <f t="shared" si="5"/>
        <v>200</v>
      </c>
      <c r="L119" s="178">
        <f t="shared" si="6"/>
        <v>20000000</v>
      </c>
      <c r="M119" s="325">
        <f t="shared" si="7"/>
        <v>5.6450930029072225E-3</v>
      </c>
      <c r="N119" s="39" t="s">
        <v>73</v>
      </c>
    </row>
    <row r="120" spans="2:14" ht="14.85" customHeight="1">
      <c r="B120" s="367"/>
      <c r="C120" s="367"/>
      <c r="D120" s="324" t="s">
        <v>125</v>
      </c>
      <c r="E120" s="324" t="s">
        <v>92</v>
      </c>
      <c r="F120" s="324">
        <v>1</v>
      </c>
      <c r="G120" s="324">
        <v>200</v>
      </c>
      <c r="H120" s="324" t="s">
        <v>73</v>
      </c>
      <c r="I120" s="343">
        <f t="shared" si="4"/>
        <v>200</v>
      </c>
      <c r="J120" s="324">
        <v>200</v>
      </c>
      <c r="K120" s="344">
        <f t="shared" si="5"/>
        <v>200</v>
      </c>
      <c r="L120" s="178">
        <f t="shared" si="6"/>
        <v>20000000</v>
      </c>
      <c r="M120" s="325">
        <f t="shared" si="7"/>
        <v>5.6450930029072225E-3</v>
      </c>
      <c r="N120" s="39" t="s">
        <v>73</v>
      </c>
    </row>
    <row r="121" spans="2:14" ht="14.85" customHeight="1">
      <c r="B121" s="367"/>
      <c r="C121" s="367"/>
      <c r="D121" s="324" t="s">
        <v>126</v>
      </c>
      <c r="E121" s="324" t="s">
        <v>92</v>
      </c>
      <c r="F121" s="324">
        <v>1</v>
      </c>
      <c r="G121" s="324">
        <v>200</v>
      </c>
      <c r="H121" s="324" t="s">
        <v>73</v>
      </c>
      <c r="I121" s="343">
        <f t="shared" si="4"/>
        <v>200</v>
      </c>
      <c r="J121" s="324">
        <v>200</v>
      </c>
      <c r="K121" s="344">
        <f t="shared" si="5"/>
        <v>200</v>
      </c>
      <c r="L121" s="178">
        <f t="shared" si="6"/>
        <v>20000000</v>
      </c>
      <c r="M121" s="325">
        <f t="shared" si="7"/>
        <v>5.6450930029072225E-3</v>
      </c>
      <c r="N121" s="39" t="s">
        <v>73</v>
      </c>
    </row>
    <row r="122" spans="2:14" ht="14.85" customHeight="1">
      <c r="B122" s="367"/>
      <c r="C122" s="367"/>
      <c r="D122" s="324" t="s">
        <v>94</v>
      </c>
      <c r="E122" s="324" t="s">
        <v>92</v>
      </c>
      <c r="F122" s="324">
        <v>1</v>
      </c>
      <c r="G122" s="324">
        <v>200</v>
      </c>
      <c r="H122" s="324" t="s">
        <v>73</v>
      </c>
      <c r="I122" s="343">
        <f t="shared" si="4"/>
        <v>200</v>
      </c>
      <c r="J122" s="324">
        <v>200</v>
      </c>
      <c r="K122" s="344">
        <f t="shared" si="5"/>
        <v>200</v>
      </c>
      <c r="L122" s="178">
        <f t="shared" si="6"/>
        <v>20000000</v>
      </c>
      <c r="M122" s="325">
        <f t="shared" si="7"/>
        <v>5.6450930029072225E-3</v>
      </c>
      <c r="N122" s="39" t="s">
        <v>73</v>
      </c>
    </row>
    <row r="123" spans="2:14" ht="14.85" customHeight="1">
      <c r="B123" s="367"/>
      <c r="C123" s="367"/>
      <c r="D123" s="324" t="s">
        <v>98</v>
      </c>
      <c r="E123" s="324" t="s">
        <v>103</v>
      </c>
      <c r="F123" s="324">
        <v>1</v>
      </c>
      <c r="G123" s="324">
        <v>92</v>
      </c>
      <c r="H123" s="324" t="s">
        <v>73</v>
      </c>
      <c r="I123" s="343">
        <f t="shared" si="4"/>
        <v>92</v>
      </c>
      <c r="J123" s="324">
        <v>92</v>
      </c>
      <c r="K123" s="344">
        <f t="shared" si="5"/>
        <v>92</v>
      </c>
      <c r="L123" s="178">
        <f t="shared" si="6"/>
        <v>9200000</v>
      </c>
      <c r="M123" s="325">
        <f t="shared" si="7"/>
        <v>2.5967427813373225E-3</v>
      </c>
      <c r="N123" s="39" t="s">
        <v>73</v>
      </c>
    </row>
    <row r="124" spans="2:14" ht="14.85" customHeight="1">
      <c r="B124" s="367"/>
      <c r="C124" s="367"/>
      <c r="D124" s="324" t="s">
        <v>127</v>
      </c>
      <c r="E124" s="324" t="s">
        <v>103</v>
      </c>
      <c r="F124" s="324">
        <v>101</v>
      </c>
      <c r="G124" s="324">
        <v>200</v>
      </c>
      <c r="H124" s="324" t="s">
        <v>73</v>
      </c>
      <c r="I124" s="343">
        <f t="shared" si="4"/>
        <v>100</v>
      </c>
      <c r="J124" s="324">
        <v>100</v>
      </c>
      <c r="K124" s="344">
        <f t="shared" si="5"/>
        <v>100</v>
      </c>
      <c r="L124" s="178">
        <f t="shared" si="6"/>
        <v>10000000</v>
      </c>
      <c r="M124" s="325">
        <f t="shared" si="7"/>
        <v>2.8225465014536113E-3</v>
      </c>
      <c r="N124" s="39" t="s">
        <v>73</v>
      </c>
    </row>
    <row r="125" spans="2:14" ht="14.85" customHeight="1">
      <c r="B125" s="367"/>
      <c r="C125" s="367"/>
      <c r="D125" s="324" t="s">
        <v>128</v>
      </c>
      <c r="E125" s="324" t="s">
        <v>103</v>
      </c>
      <c r="F125" s="324">
        <v>1</v>
      </c>
      <c r="G125" s="324">
        <v>200</v>
      </c>
      <c r="H125" s="324" t="s">
        <v>73</v>
      </c>
      <c r="I125" s="343">
        <f t="shared" si="4"/>
        <v>200</v>
      </c>
      <c r="J125" s="324">
        <v>200</v>
      </c>
      <c r="K125" s="344">
        <f t="shared" si="5"/>
        <v>200</v>
      </c>
      <c r="L125" s="178">
        <f t="shared" si="6"/>
        <v>20000000</v>
      </c>
      <c r="M125" s="325">
        <f t="shared" si="7"/>
        <v>5.6450930029072225E-3</v>
      </c>
      <c r="N125" s="39" t="s">
        <v>73</v>
      </c>
    </row>
    <row r="126" spans="2:14" ht="14.85" customHeight="1">
      <c r="B126" s="367"/>
      <c r="C126" s="367"/>
      <c r="D126" s="324" t="s">
        <v>93</v>
      </c>
      <c r="E126" s="324" t="s">
        <v>124</v>
      </c>
      <c r="F126" s="324">
        <v>138</v>
      </c>
      <c r="G126" s="324">
        <v>200</v>
      </c>
      <c r="H126" s="324" t="s">
        <v>73</v>
      </c>
      <c r="I126" s="343">
        <f t="shared" si="4"/>
        <v>63</v>
      </c>
      <c r="J126" s="324">
        <v>63</v>
      </c>
      <c r="K126" s="344">
        <f t="shared" si="5"/>
        <v>63</v>
      </c>
      <c r="L126" s="178">
        <f t="shared" si="6"/>
        <v>6300000</v>
      </c>
      <c r="M126" s="325">
        <f t="shared" si="7"/>
        <v>1.7782042959157752E-3</v>
      </c>
      <c r="N126" s="39" t="s">
        <v>73</v>
      </c>
    </row>
    <row r="127" spans="2:14" ht="14.85" customHeight="1">
      <c r="B127" s="367"/>
      <c r="C127" s="367"/>
      <c r="D127" s="324" t="s">
        <v>88</v>
      </c>
      <c r="E127" s="324" t="s">
        <v>124</v>
      </c>
      <c r="F127" s="324">
        <v>1</v>
      </c>
      <c r="G127" s="324">
        <v>200</v>
      </c>
      <c r="H127" s="324" t="s">
        <v>73</v>
      </c>
      <c r="I127" s="343">
        <f t="shared" ref="I127:I158" si="8">IF(H127="Ordinaria",+J127,0)</f>
        <v>200</v>
      </c>
      <c r="J127" s="324">
        <v>200</v>
      </c>
      <c r="K127" s="344">
        <f t="shared" ref="K127:K158" si="9">+I127</f>
        <v>200</v>
      </c>
      <c r="L127" s="178">
        <f t="shared" ref="L127:L158" si="10">J127*100000</f>
        <v>20000000</v>
      </c>
      <c r="M127" s="325">
        <f t="shared" ref="M127:M158" si="11">+L127/$L$247</f>
        <v>5.6450930029072225E-3</v>
      </c>
      <c r="N127" s="39" t="s">
        <v>73</v>
      </c>
    </row>
    <row r="128" spans="2:14" ht="14.85" customHeight="1">
      <c r="B128" s="368"/>
      <c r="C128" s="368"/>
      <c r="D128" s="324" t="s">
        <v>75</v>
      </c>
      <c r="E128" s="324" t="s">
        <v>125</v>
      </c>
      <c r="F128" s="324">
        <v>13</v>
      </c>
      <c r="G128" s="324">
        <v>2420</v>
      </c>
      <c r="H128" s="324" t="s">
        <v>73</v>
      </c>
      <c r="I128" s="343">
        <f t="shared" si="8"/>
        <v>2408</v>
      </c>
      <c r="J128" s="324">
        <v>2408</v>
      </c>
      <c r="K128" s="344">
        <f t="shared" si="9"/>
        <v>2408</v>
      </c>
      <c r="L128" s="178">
        <f t="shared" si="10"/>
        <v>240800000</v>
      </c>
      <c r="M128" s="325">
        <f t="shared" si="11"/>
        <v>6.7966919755002964E-2</v>
      </c>
      <c r="N128" s="39" t="s">
        <v>73</v>
      </c>
    </row>
    <row r="129" spans="2:14" ht="14.85" customHeight="1">
      <c r="B129" s="366">
        <v>6</v>
      </c>
      <c r="C129" s="366" t="s">
        <v>129</v>
      </c>
      <c r="D129" s="324" t="s">
        <v>71</v>
      </c>
      <c r="E129" s="324" t="s">
        <v>90</v>
      </c>
      <c r="F129" s="324">
        <v>166</v>
      </c>
      <c r="G129" s="324">
        <v>180</v>
      </c>
      <c r="H129" s="324" t="s">
        <v>73</v>
      </c>
      <c r="I129" s="343">
        <f t="shared" si="8"/>
        <v>15</v>
      </c>
      <c r="J129" s="324">
        <v>15</v>
      </c>
      <c r="K129" s="344">
        <f t="shared" si="9"/>
        <v>15</v>
      </c>
      <c r="L129" s="178">
        <f t="shared" si="10"/>
        <v>1500000</v>
      </c>
      <c r="M129" s="325">
        <f t="shared" si="11"/>
        <v>4.233819752180417E-4</v>
      </c>
      <c r="N129" s="39" t="s">
        <v>73</v>
      </c>
    </row>
    <row r="130" spans="2:14" ht="14.85" customHeight="1">
      <c r="B130" s="367"/>
      <c r="C130" s="367"/>
      <c r="D130" s="324" t="s">
        <v>96</v>
      </c>
      <c r="E130" s="324" t="s">
        <v>90</v>
      </c>
      <c r="F130" s="324">
        <v>200</v>
      </c>
      <c r="G130" s="324">
        <v>200</v>
      </c>
      <c r="H130" s="324" t="s">
        <v>73</v>
      </c>
      <c r="I130" s="343">
        <f t="shared" si="8"/>
        <v>1</v>
      </c>
      <c r="J130" s="324">
        <v>1</v>
      </c>
      <c r="K130" s="344">
        <f t="shared" si="9"/>
        <v>1</v>
      </c>
      <c r="L130" s="178">
        <f t="shared" si="10"/>
        <v>100000</v>
      </c>
      <c r="M130" s="325">
        <f t="shared" si="11"/>
        <v>2.8225465014536116E-5</v>
      </c>
      <c r="N130" s="39" t="s">
        <v>73</v>
      </c>
    </row>
    <row r="131" spans="2:14" ht="14.85" customHeight="1">
      <c r="B131" s="367"/>
      <c r="C131" s="367"/>
      <c r="D131" s="324" t="s">
        <v>112</v>
      </c>
      <c r="E131" s="324" t="s">
        <v>90</v>
      </c>
      <c r="F131" s="324">
        <v>193</v>
      </c>
      <c r="G131" s="324">
        <v>200</v>
      </c>
      <c r="H131" s="324" t="s">
        <v>73</v>
      </c>
      <c r="I131" s="343">
        <f t="shared" si="8"/>
        <v>8</v>
      </c>
      <c r="J131" s="324">
        <v>8</v>
      </c>
      <c r="K131" s="344">
        <f t="shared" si="9"/>
        <v>8</v>
      </c>
      <c r="L131" s="178">
        <f t="shared" si="10"/>
        <v>800000</v>
      </c>
      <c r="M131" s="325">
        <f t="shared" si="11"/>
        <v>2.2580372011628893E-4</v>
      </c>
      <c r="N131" s="39" t="s">
        <v>73</v>
      </c>
    </row>
    <row r="132" spans="2:14" ht="14.85" customHeight="1">
      <c r="B132" s="367"/>
      <c r="C132" s="367"/>
      <c r="D132" s="324" t="s">
        <v>130</v>
      </c>
      <c r="E132" s="324" t="s">
        <v>90</v>
      </c>
      <c r="F132" s="324">
        <v>184</v>
      </c>
      <c r="G132" s="324">
        <v>200</v>
      </c>
      <c r="H132" s="324" t="s">
        <v>73</v>
      </c>
      <c r="I132" s="343">
        <f t="shared" si="8"/>
        <v>17</v>
      </c>
      <c r="J132" s="324">
        <v>17</v>
      </c>
      <c r="K132" s="344">
        <f t="shared" si="9"/>
        <v>17</v>
      </c>
      <c r="L132" s="178">
        <f t="shared" si="10"/>
        <v>1700000</v>
      </c>
      <c r="M132" s="325">
        <f t="shared" si="11"/>
        <v>4.7983290524711395E-4</v>
      </c>
      <c r="N132" s="39" t="s">
        <v>73</v>
      </c>
    </row>
    <row r="133" spans="2:14" ht="14.85" customHeight="1">
      <c r="B133" s="367"/>
      <c r="C133" s="367"/>
      <c r="D133" s="324" t="s">
        <v>127</v>
      </c>
      <c r="E133" s="324" t="s">
        <v>90</v>
      </c>
      <c r="F133" s="324">
        <v>1</v>
      </c>
      <c r="G133" s="324">
        <v>6</v>
      </c>
      <c r="H133" s="324" t="s">
        <v>73</v>
      </c>
      <c r="I133" s="343">
        <f t="shared" si="8"/>
        <v>6</v>
      </c>
      <c r="J133" s="324">
        <v>6</v>
      </c>
      <c r="K133" s="344">
        <f t="shared" si="9"/>
        <v>6</v>
      </c>
      <c r="L133" s="178">
        <f t="shared" si="10"/>
        <v>600000</v>
      </c>
      <c r="M133" s="325">
        <f t="shared" si="11"/>
        <v>1.6935279008721668E-4</v>
      </c>
      <c r="N133" s="39" t="s">
        <v>73</v>
      </c>
    </row>
    <row r="134" spans="2:14" ht="14.85" customHeight="1">
      <c r="B134" s="368"/>
      <c r="C134" s="368"/>
      <c r="D134" s="324" t="s">
        <v>119</v>
      </c>
      <c r="E134" s="324" t="s">
        <v>106</v>
      </c>
      <c r="F134" s="324">
        <v>171</v>
      </c>
      <c r="G134" s="324">
        <v>189</v>
      </c>
      <c r="H134" s="324" t="s">
        <v>73</v>
      </c>
      <c r="I134" s="343">
        <f t="shared" si="8"/>
        <v>19</v>
      </c>
      <c r="J134" s="324">
        <v>19</v>
      </c>
      <c r="K134" s="344">
        <f t="shared" si="9"/>
        <v>19</v>
      </c>
      <c r="L134" s="178">
        <f t="shared" si="10"/>
        <v>1900000</v>
      </c>
      <c r="M134" s="325">
        <f t="shared" si="11"/>
        <v>5.3628383527618614E-4</v>
      </c>
      <c r="N134" s="39" t="s">
        <v>73</v>
      </c>
    </row>
    <row r="135" spans="2:14" ht="14.85" customHeight="1">
      <c r="B135" s="366">
        <v>7</v>
      </c>
      <c r="C135" s="366" t="s">
        <v>131</v>
      </c>
      <c r="D135" s="324" t="s">
        <v>71</v>
      </c>
      <c r="E135" s="324" t="s">
        <v>124</v>
      </c>
      <c r="F135" s="324">
        <v>196</v>
      </c>
      <c r="G135" s="324">
        <v>196</v>
      </c>
      <c r="H135" s="324" t="s">
        <v>73</v>
      </c>
      <c r="I135" s="343">
        <f t="shared" si="8"/>
        <v>1</v>
      </c>
      <c r="J135" s="324">
        <v>1</v>
      </c>
      <c r="K135" s="344">
        <f t="shared" si="9"/>
        <v>1</v>
      </c>
      <c r="L135" s="178">
        <f t="shared" si="10"/>
        <v>100000</v>
      </c>
      <c r="M135" s="325">
        <f t="shared" si="11"/>
        <v>2.8225465014536116E-5</v>
      </c>
      <c r="N135" s="39" t="s">
        <v>73</v>
      </c>
    </row>
    <row r="136" spans="2:14" ht="14.85" customHeight="1">
      <c r="B136" s="367"/>
      <c r="C136" s="367"/>
      <c r="D136" s="324" t="s">
        <v>71</v>
      </c>
      <c r="E136" s="324" t="s">
        <v>76</v>
      </c>
      <c r="F136" s="324">
        <v>197</v>
      </c>
      <c r="G136" s="324">
        <v>197</v>
      </c>
      <c r="H136" s="324" t="s">
        <v>73</v>
      </c>
      <c r="I136" s="343">
        <f t="shared" si="8"/>
        <v>1</v>
      </c>
      <c r="J136" s="324">
        <v>1</v>
      </c>
      <c r="K136" s="344">
        <f t="shared" si="9"/>
        <v>1</v>
      </c>
      <c r="L136" s="178">
        <f t="shared" si="10"/>
        <v>100000</v>
      </c>
      <c r="M136" s="325">
        <f t="shared" si="11"/>
        <v>2.8225465014536116E-5</v>
      </c>
      <c r="N136" s="39" t="s">
        <v>73</v>
      </c>
    </row>
    <row r="137" spans="2:14" ht="14.85" customHeight="1">
      <c r="B137" s="367"/>
      <c r="C137" s="367"/>
      <c r="D137" s="324" t="s">
        <v>104</v>
      </c>
      <c r="E137" s="324" t="s">
        <v>132</v>
      </c>
      <c r="F137" s="324">
        <v>51</v>
      </c>
      <c r="G137" s="324">
        <v>100</v>
      </c>
      <c r="H137" s="324" t="s">
        <v>73</v>
      </c>
      <c r="I137" s="343">
        <f t="shared" si="8"/>
        <v>50</v>
      </c>
      <c r="J137" s="324">
        <v>50</v>
      </c>
      <c r="K137" s="344">
        <f t="shared" si="9"/>
        <v>50</v>
      </c>
      <c r="L137" s="178">
        <f t="shared" si="10"/>
        <v>5000000</v>
      </c>
      <c r="M137" s="325">
        <f t="shared" si="11"/>
        <v>1.4112732507268056E-3</v>
      </c>
      <c r="N137" s="39" t="s">
        <v>73</v>
      </c>
    </row>
    <row r="138" spans="2:14" ht="14.85" customHeight="1">
      <c r="B138" s="367"/>
      <c r="C138" s="367"/>
      <c r="D138" s="324" t="s">
        <v>104</v>
      </c>
      <c r="E138" s="324" t="s">
        <v>133</v>
      </c>
      <c r="F138" s="324">
        <v>101</v>
      </c>
      <c r="G138" s="324">
        <v>110</v>
      </c>
      <c r="H138" s="324" t="s">
        <v>73</v>
      </c>
      <c r="I138" s="343">
        <f t="shared" si="8"/>
        <v>10</v>
      </c>
      <c r="J138" s="324">
        <v>10</v>
      </c>
      <c r="K138" s="344">
        <f t="shared" si="9"/>
        <v>10</v>
      </c>
      <c r="L138" s="178">
        <f t="shared" si="10"/>
        <v>1000000</v>
      </c>
      <c r="M138" s="325">
        <f t="shared" si="11"/>
        <v>2.8225465014536117E-4</v>
      </c>
      <c r="N138" s="39" t="s">
        <v>73</v>
      </c>
    </row>
    <row r="139" spans="2:14" ht="14.85" customHeight="1">
      <c r="B139" s="367"/>
      <c r="C139" s="367"/>
      <c r="D139" s="324" t="s">
        <v>104</v>
      </c>
      <c r="E139" s="324" t="s">
        <v>134</v>
      </c>
      <c r="F139" s="324">
        <v>111</v>
      </c>
      <c r="G139" s="324">
        <v>120</v>
      </c>
      <c r="H139" s="324" t="s">
        <v>73</v>
      </c>
      <c r="I139" s="343">
        <f t="shared" si="8"/>
        <v>10</v>
      </c>
      <c r="J139" s="324">
        <v>10</v>
      </c>
      <c r="K139" s="344">
        <f t="shared" si="9"/>
        <v>10</v>
      </c>
      <c r="L139" s="178">
        <f t="shared" si="10"/>
        <v>1000000</v>
      </c>
      <c r="M139" s="325">
        <f t="shared" si="11"/>
        <v>2.8225465014536117E-4</v>
      </c>
      <c r="N139" s="39" t="s">
        <v>73</v>
      </c>
    </row>
    <row r="140" spans="2:14" ht="14.85" customHeight="1">
      <c r="B140" s="367"/>
      <c r="C140" s="367"/>
      <c r="D140" s="324" t="s">
        <v>104</v>
      </c>
      <c r="E140" s="324" t="s">
        <v>135</v>
      </c>
      <c r="F140" s="324">
        <v>121</v>
      </c>
      <c r="G140" s="324">
        <v>125</v>
      </c>
      <c r="H140" s="324" t="s">
        <v>73</v>
      </c>
      <c r="I140" s="343">
        <f t="shared" si="8"/>
        <v>5</v>
      </c>
      <c r="J140" s="324">
        <v>5</v>
      </c>
      <c r="K140" s="344">
        <f t="shared" si="9"/>
        <v>5</v>
      </c>
      <c r="L140" s="178">
        <f t="shared" si="10"/>
        <v>500000</v>
      </c>
      <c r="M140" s="325">
        <f t="shared" si="11"/>
        <v>1.4112732507268059E-4</v>
      </c>
      <c r="N140" s="39" t="s">
        <v>73</v>
      </c>
    </row>
    <row r="141" spans="2:14" ht="14.85" customHeight="1">
      <c r="B141" s="367"/>
      <c r="C141" s="367"/>
      <c r="D141" s="324" t="s">
        <v>104</v>
      </c>
      <c r="E141" s="324" t="s">
        <v>136</v>
      </c>
      <c r="F141" s="324">
        <v>126</v>
      </c>
      <c r="G141" s="324">
        <v>135</v>
      </c>
      <c r="H141" s="324" t="s">
        <v>73</v>
      </c>
      <c r="I141" s="343">
        <f t="shared" si="8"/>
        <v>10</v>
      </c>
      <c r="J141" s="324">
        <v>10</v>
      </c>
      <c r="K141" s="344">
        <f t="shared" si="9"/>
        <v>10</v>
      </c>
      <c r="L141" s="178">
        <f t="shared" si="10"/>
        <v>1000000</v>
      </c>
      <c r="M141" s="325">
        <f t="shared" si="11"/>
        <v>2.8225465014536117E-4</v>
      </c>
      <c r="N141" s="39" t="s">
        <v>73</v>
      </c>
    </row>
    <row r="142" spans="2:14" ht="14.85" customHeight="1">
      <c r="B142" s="367"/>
      <c r="C142" s="367"/>
      <c r="D142" s="324" t="s">
        <v>104</v>
      </c>
      <c r="E142" s="324" t="s">
        <v>137</v>
      </c>
      <c r="F142" s="324">
        <v>136</v>
      </c>
      <c r="G142" s="324">
        <v>145</v>
      </c>
      <c r="H142" s="324" t="s">
        <v>73</v>
      </c>
      <c r="I142" s="343">
        <f t="shared" si="8"/>
        <v>10</v>
      </c>
      <c r="J142" s="324">
        <v>10</v>
      </c>
      <c r="K142" s="344">
        <f t="shared" si="9"/>
        <v>10</v>
      </c>
      <c r="L142" s="178">
        <f t="shared" si="10"/>
        <v>1000000</v>
      </c>
      <c r="M142" s="325">
        <f t="shared" si="11"/>
        <v>2.8225465014536117E-4</v>
      </c>
      <c r="N142" s="39" t="s">
        <v>73</v>
      </c>
    </row>
    <row r="143" spans="2:14" ht="14.85" customHeight="1">
      <c r="B143" s="367"/>
      <c r="C143" s="367"/>
      <c r="D143" s="324" t="s">
        <v>104</v>
      </c>
      <c r="E143" s="324" t="s">
        <v>138</v>
      </c>
      <c r="F143" s="324">
        <v>146</v>
      </c>
      <c r="G143" s="324">
        <v>155</v>
      </c>
      <c r="H143" s="324" t="s">
        <v>73</v>
      </c>
      <c r="I143" s="343">
        <f t="shared" si="8"/>
        <v>10</v>
      </c>
      <c r="J143" s="324">
        <v>10</v>
      </c>
      <c r="K143" s="344">
        <f t="shared" si="9"/>
        <v>10</v>
      </c>
      <c r="L143" s="178">
        <f t="shared" si="10"/>
        <v>1000000</v>
      </c>
      <c r="M143" s="325">
        <f t="shared" si="11"/>
        <v>2.8225465014536117E-4</v>
      </c>
      <c r="N143" s="39" t="s">
        <v>73</v>
      </c>
    </row>
    <row r="144" spans="2:14" ht="14.85" customHeight="1">
      <c r="B144" s="367"/>
      <c r="C144" s="367"/>
      <c r="D144" s="324" t="s">
        <v>104</v>
      </c>
      <c r="E144" s="324" t="s">
        <v>139</v>
      </c>
      <c r="F144" s="324">
        <v>156</v>
      </c>
      <c r="G144" s="324">
        <v>160</v>
      </c>
      <c r="H144" s="324" t="s">
        <v>73</v>
      </c>
      <c r="I144" s="343">
        <f t="shared" si="8"/>
        <v>5</v>
      </c>
      <c r="J144" s="324">
        <v>5</v>
      </c>
      <c r="K144" s="344">
        <f t="shared" si="9"/>
        <v>5</v>
      </c>
      <c r="L144" s="178">
        <f t="shared" si="10"/>
        <v>500000</v>
      </c>
      <c r="M144" s="325">
        <f t="shared" si="11"/>
        <v>1.4112732507268059E-4</v>
      </c>
      <c r="N144" s="39" t="s">
        <v>73</v>
      </c>
    </row>
    <row r="145" spans="2:14" ht="14.85" customHeight="1">
      <c r="B145" s="367"/>
      <c r="C145" s="367"/>
      <c r="D145" s="324" t="s">
        <v>104</v>
      </c>
      <c r="E145" s="324" t="s">
        <v>140</v>
      </c>
      <c r="F145" s="324">
        <v>161</v>
      </c>
      <c r="G145" s="324">
        <v>161</v>
      </c>
      <c r="H145" s="324" t="s">
        <v>73</v>
      </c>
      <c r="I145" s="343">
        <f t="shared" si="8"/>
        <v>1</v>
      </c>
      <c r="J145" s="324">
        <v>1</v>
      </c>
      <c r="K145" s="344">
        <f t="shared" si="9"/>
        <v>1</v>
      </c>
      <c r="L145" s="178">
        <f t="shared" si="10"/>
        <v>100000</v>
      </c>
      <c r="M145" s="325">
        <f t="shared" si="11"/>
        <v>2.8225465014536116E-5</v>
      </c>
      <c r="N145" s="39" t="s">
        <v>73</v>
      </c>
    </row>
    <row r="146" spans="2:14" ht="14.85" customHeight="1">
      <c r="B146" s="367"/>
      <c r="C146" s="367"/>
      <c r="D146" s="324" t="s">
        <v>104</v>
      </c>
      <c r="E146" s="324" t="s">
        <v>141</v>
      </c>
      <c r="F146" s="324">
        <v>162</v>
      </c>
      <c r="G146" s="324">
        <v>162</v>
      </c>
      <c r="H146" s="324" t="s">
        <v>73</v>
      </c>
      <c r="I146" s="343">
        <f t="shared" si="8"/>
        <v>1</v>
      </c>
      <c r="J146" s="324">
        <v>1</v>
      </c>
      <c r="K146" s="344">
        <f t="shared" si="9"/>
        <v>1</v>
      </c>
      <c r="L146" s="178">
        <f t="shared" si="10"/>
        <v>100000</v>
      </c>
      <c r="M146" s="325">
        <f t="shared" si="11"/>
        <v>2.8225465014536116E-5</v>
      </c>
      <c r="N146" s="39" t="s">
        <v>73</v>
      </c>
    </row>
    <row r="147" spans="2:14" ht="14.85" customHeight="1">
      <c r="B147" s="367"/>
      <c r="C147" s="367"/>
      <c r="D147" s="324" t="s">
        <v>104</v>
      </c>
      <c r="E147" s="324" t="s">
        <v>142</v>
      </c>
      <c r="F147" s="324">
        <v>163</v>
      </c>
      <c r="G147" s="324">
        <v>163</v>
      </c>
      <c r="H147" s="324" t="s">
        <v>73</v>
      </c>
      <c r="I147" s="343">
        <f t="shared" si="8"/>
        <v>1</v>
      </c>
      <c r="J147" s="324">
        <v>1</v>
      </c>
      <c r="K147" s="344">
        <f t="shared" si="9"/>
        <v>1</v>
      </c>
      <c r="L147" s="178">
        <f t="shared" si="10"/>
        <v>100000</v>
      </c>
      <c r="M147" s="325">
        <f t="shared" si="11"/>
        <v>2.8225465014536116E-5</v>
      </c>
      <c r="N147" s="39" t="s">
        <v>73</v>
      </c>
    </row>
    <row r="148" spans="2:14" ht="14.85" customHeight="1">
      <c r="B148" s="367"/>
      <c r="C148" s="367"/>
      <c r="D148" s="324" t="s">
        <v>104</v>
      </c>
      <c r="E148" s="324" t="s">
        <v>143</v>
      </c>
      <c r="F148" s="324">
        <v>164</v>
      </c>
      <c r="G148" s="324">
        <v>164</v>
      </c>
      <c r="H148" s="324" t="s">
        <v>73</v>
      </c>
      <c r="I148" s="343">
        <f t="shared" si="8"/>
        <v>1</v>
      </c>
      <c r="J148" s="324">
        <v>1</v>
      </c>
      <c r="K148" s="344">
        <f t="shared" si="9"/>
        <v>1</v>
      </c>
      <c r="L148" s="178">
        <f t="shared" si="10"/>
        <v>100000</v>
      </c>
      <c r="M148" s="325">
        <f t="shared" si="11"/>
        <v>2.8225465014536116E-5</v>
      </c>
      <c r="N148" s="39" t="s">
        <v>73</v>
      </c>
    </row>
    <row r="149" spans="2:14" ht="14.85" customHeight="1">
      <c r="B149" s="367"/>
      <c r="C149" s="367"/>
      <c r="D149" s="324" t="s">
        <v>104</v>
      </c>
      <c r="E149" s="324" t="s">
        <v>144</v>
      </c>
      <c r="F149" s="324">
        <v>165</v>
      </c>
      <c r="G149" s="324">
        <v>174</v>
      </c>
      <c r="H149" s="324" t="s">
        <v>73</v>
      </c>
      <c r="I149" s="343">
        <f t="shared" si="8"/>
        <v>10</v>
      </c>
      <c r="J149" s="324">
        <v>10</v>
      </c>
      <c r="K149" s="344">
        <f t="shared" si="9"/>
        <v>10</v>
      </c>
      <c r="L149" s="178">
        <f t="shared" si="10"/>
        <v>1000000</v>
      </c>
      <c r="M149" s="325">
        <f t="shared" si="11"/>
        <v>2.8225465014536117E-4</v>
      </c>
      <c r="N149" s="39" t="s">
        <v>73</v>
      </c>
    </row>
    <row r="150" spans="2:14" ht="14.85" customHeight="1">
      <c r="B150" s="367"/>
      <c r="C150" s="367"/>
      <c r="D150" s="324" t="s">
        <v>104</v>
      </c>
      <c r="E150" s="324" t="s">
        <v>145</v>
      </c>
      <c r="F150" s="324">
        <v>175</v>
      </c>
      <c r="G150" s="324">
        <v>179</v>
      </c>
      <c r="H150" s="324" t="s">
        <v>73</v>
      </c>
      <c r="I150" s="343">
        <f t="shared" si="8"/>
        <v>5</v>
      </c>
      <c r="J150" s="324">
        <v>5</v>
      </c>
      <c r="K150" s="344">
        <f t="shared" si="9"/>
        <v>5</v>
      </c>
      <c r="L150" s="178">
        <f t="shared" si="10"/>
        <v>500000</v>
      </c>
      <c r="M150" s="325">
        <f t="shared" si="11"/>
        <v>1.4112732507268059E-4</v>
      </c>
      <c r="N150" s="39" t="s">
        <v>73</v>
      </c>
    </row>
    <row r="151" spans="2:14" ht="14.85" customHeight="1">
      <c r="B151" s="367"/>
      <c r="C151" s="367"/>
      <c r="D151" s="324" t="s">
        <v>104</v>
      </c>
      <c r="E151" s="324" t="s">
        <v>146</v>
      </c>
      <c r="F151" s="324">
        <v>180</v>
      </c>
      <c r="G151" s="324">
        <v>180</v>
      </c>
      <c r="H151" s="324" t="s">
        <v>73</v>
      </c>
      <c r="I151" s="343">
        <f t="shared" si="8"/>
        <v>1</v>
      </c>
      <c r="J151" s="324">
        <v>1</v>
      </c>
      <c r="K151" s="344">
        <f t="shared" si="9"/>
        <v>1</v>
      </c>
      <c r="L151" s="178">
        <f t="shared" si="10"/>
        <v>100000</v>
      </c>
      <c r="M151" s="325">
        <f t="shared" si="11"/>
        <v>2.8225465014536116E-5</v>
      </c>
      <c r="N151" s="39" t="s">
        <v>73</v>
      </c>
    </row>
    <row r="152" spans="2:14" ht="14.85" customHeight="1">
      <c r="B152" s="367"/>
      <c r="C152" s="367"/>
      <c r="D152" s="324" t="s">
        <v>104</v>
      </c>
      <c r="E152" s="324" t="s">
        <v>147</v>
      </c>
      <c r="F152" s="324">
        <v>181</v>
      </c>
      <c r="G152" s="324">
        <v>181</v>
      </c>
      <c r="H152" s="324" t="s">
        <v>73</v>
      </c>
      <c r="I152" s="343">
        <f t="shared" si="8"/>
        <v>1</v>
      </c>
      <c r="J152" s="324">
        <v>1</v>
      </c>
      <c r="K152" s="344">
        <f t="shared" si="9"/>
        <v>1</v>
      </c>
      <c r="L152" s="178">
        <f t="shared" si="10"/>
        <v>100000</v>
      </c>
      <c r="M152" s="325">
        <f t="shared" si="11"/>
        <v>2.8225465014536116E-5</v>
      </c>
      <c r="N152" s="39" t="s">
        <v>73</v>
      </c>
    </row>
    <row r="153" spans="2:14" ht="14.85" customHeight="1">
      <c r="B153" s="367"/>
      <c r="C153" s="367"/>
      <c r="D153" s="324" t="s">
        <v>104</v>
      </c>
      <c r="E153" s="324" t="s">
        <v>148</v>
      </c>
      <c r="F153" s="324">
        <v>182</v>
      </c>
      <c r="G153" s="324">
        <v>191</v>
      </c>
      <c r="H153" s="324" t="s">
        <v>73</v>
      </c>
      <c r="I153" s="343">
        <f t="shared" si="8"/>
        <v>10</v>
      </c>
      <c r="J153" s="324">
        <v>10</v>
      </c>
      <c r="K153" s="344">
        <f t="shared" si="9"/>
        <v>10</v>
      </c>
      <c r="L153" s="178">
        <f t="shared" si="10"/>
        <v>1000000</v>
      </c>
      <c r="M153" s="325">
        <f t="shared" si="11"/>
        <v>2.8225465014536117E-4</v>
      </c>
      <c r="N153" s="39" t="s">
        <v>73</v>
      </c>
    </row>
    <row r="154" spans="2:14" ht="14.85" customHeight="1">
      <c r="B154" s="367"/>
      <c r="C154" s="367"/>
      <c r="D154" s="324" t="s">
        <v>100</v>
      </c>
      <c r="E154" s="324" t="s">
        <v>149</v>
      </c>
      <c r="F154" s="324">
        <v>77</v>
      </c>
      <c r="G154" s="324">
        <v>216</v>
      </c>
      <c r="H154" s="324" t="s">
        <v>73</v>
      </c>
      <c r="I154" s="343">
        <f t="shared" si="8"/>
        <v>140</v>
      </c>
      <c r="J154" s="324">
        <v>140</v>
      </c>
      <c r="K154" s="344">
        <f t="shared" si="9"/>
        <v>140</v>
      </c>
      <c r="L154" s="178">
        <f t="shared" si="10"/>
        <v>14000000</v>
      </c>
      <c r="M154" s="325">
        <f t="shared" si="11"/>
        <v>3.9515651020350564E-3</v>
      </c>
      <c r="N154" s="39" t="s">
        <v>73</v>
      </c>
    </row>
    <row r="155" spans="2:14" ht="14.85" customHeight="1">
      <c r="B155" s="367"/>
      <c r="C155" s="367"/>
      <c r="D155" s="324" t="s">
        <v>150</v>
      </c>
      <c r="E155" s="324" t="s">
        <v>151</v>
      </c>
      <c r="F155" s="324">
        <v>78</v>
      </c>
      <c r="G155" s="324">
        <v>217</v>
      </c>
      <c r="H155" s="324" t="s">
        <v>73</v>
      </c>
      <c r="I155" s="343">
        <f t="shared" si="8"/>
        <v>140</v>
      </c>
      <c r="J155" s="324">
        <v>140</v>
      </c>
      <c r="K155" s="344">
        <f t="shared" si="9"/>
        <v>140</v>
      </c>
      <c r="L155" s="178">
        <f t="shared" si="10"/>
        <v>14000000</v>
      </c>
      <c r="M155" s="325">
        <f t="shared" si="11"/>
        <v>3.9515651020350564E-3</v>
      </c>
      <c r="N155" s="39" t="s">
        <v>73</v>
      </c>
    </row>
    <row r="156" spans="2:14" ht="14.85" customHeight="1">
      <c r="B156" s="367"/>
      <c r="C156" s="367"/>
      <c r="D156" s="324" t="s">
        <v>152</v>
      </c>
      <c r="E156" s="324" t="s">
        <v>153</v>
      </c>
      <c r="F156" s="324">
        <v>55</v>
      </c>
      <c r="G156" s="324">
        <v>56</v>
      </c>
      <c r="H156" s="324" t="s">
        <v>73</v>
      </c>
      <c r="I156" s="343">
        <f t="shared" si="8"/>
        <v>2</v>
      </c>
      <c r="J156" s="324">
        <v>2</v>
      </c>
      <c r="K156" s="344">
        <f t="shared" si="9"/>
        <v>2</v>
      </c>
      <c r="L156" s="178">
        <f t="shared" si="10"/>
        <v>200000</v>
      </c>
      <c r="M156" s="325">
        <f t="shared" si="11"/>
        <v>5.6450930029072231E-5</v>
      </c>
      <c r="N156" s="39" t="s">
        <v>73</v>
      </c>
    </row>
    <row r="157" spans="2:14" ht="14.85" customHeight="1">
      <c r="B157" s="367"/>
      <c r="C157" s="367"/>
      <c r="D157" s="324" t="s">
        <v>154</v>
      </c>
      <c r="E157" s="324" t="s">
        <v>155</v>
      </c>
      <c r="F157" s="324">
        <v>202</v>
      </c>
      <c r="G157" s="324">
        <v>300</v>
      </c>
      <c r="H157" s="324" t="s">
        <v>73</v>
      </c>
      <c r="I157" s="343">
        <f t="shared" si="8"/>
        <v>99</v>
      </c>
      <c r="J157" s="324">
        <v>99</v>
      </c>
      <c r="K157" s="344">
        <f t="shared" si="9"/>
        <v>99</v>
      </c>
      <c r="L157" s="178">
        <f t="shared" si="10"/>
        <v>9900000</v>
      </c>
      <c r="M157" s="325">
        <f t="shared" si="11"/>
        <v>2.7943210364390755E-3</v>
      </c>
      <c r="N157" s="39" t="s">
        <v>73</v>
      </c>
    </row>
    <row r="158" spans="2:14">
      <c r="B158" s="367"/>
      <c r="C158" s="367"/>
      <c r="D158" s="324" t="s">
        <v>156</v>
      </c>
      <c r="E158" s="324" t="s">
        <v>157</v>
      </c>
      <c r="F158" s="324">
        <v>1</v>
      </c>
      <c r="G158" s="324">
        <v>21</v>
      </c>
      <c r="H158" s="324" t="s">
        <v>73</v>
      </c>
      <c r="I158" s="343">
        <f t="shared" si="8"/>
        <v>21</v>
      </c>
      <c r="J158" s="324">
        <v>21</v>
      </c>
      <c r="K158" s="344">
        <f t="shared" si="9"/>
        <v>21</v>
      </c>
      <c r="L158" s="178">
        <f t="shared" si="10"/>
        <v>2100000</v>
      </c>
      <c r="M158" s="325">
        <f t="shared" si="11"/>
        <v>5.9273476530525844E-4</v>
      </c>
      <c r="N158" s="39" t="s">
        <v>73</v>
      </c>
    </row>
    <row r="159" spans="2:14">
      <c r="B159" s="368"/>
      <c r="C159" s="368"/>
      <c r="D159" s="324" t="s">
        <v>158</v>
      </c>
      <c r="E159" s="324" t="s">
        <v>97</v>
      </c>
      <c r="F159" s="324">
        <v>7</v>
      </c>
      <c r="G159" s="324">
        <v>172</v>
      </c>
      <c r="H159" s="324" t="s">
        <v>73</v>
      </c>
      <c r="I159" s="343">
        <f t="shared" ref="I159:I190" si="12">IF(H159="Ordinaria",+J159,0)</f>
        <v>166</v>
      </c>
      <c r="J159" s="324">
        <v>166</v>
      </c>
      <c r="K159" s="344">
        <f t="shared" ref="K159:K190" si="13">+I159</f>
        <v>166</v>
      </c>
      <c r="L159" s="178">
        <f t="shared" ref="L159:L190" si="14">J159*100000</f>
        <v>16600000</v>
      </c>
      <c r="M159" s="325">
        <f t="shared" ref="M159:M190" si="15">+L159/$L$247</f>
        <v>4.6854271924129951E-3</v>
      </c>
      <c r="N159" s="39" t="s">
        <v>73</v>
      </c>
    </row>
    <row r="160" spans="2:14">
      <c r="B160" s="366">
        <v>8</v>
      </c>
      <c r="C160" s="366" t="s">
        <v>159</v>
      </c>
      <c r="D160" s="324" t="s">
        <v>103</v>
      </c>
      <c r="E160" s="324">
        <v>57</v>
      </c>
      <c r="F160" s="324">
        <v>171</v>
      </c>
      <c r="G160" s="324">
        <v>180</v>
      </c>
      <c r="H160" s="324" t="s">
        <v>73</v>
      </c>
      <c r="I160" s="343">
        <f t="shared" si="12"/>
        <v>10</v>
      </c>
      <c r="J160" s="324">
        <v>10</v>
      </c>
      <c r="K160" s="344">
        <f t="shared" si="13"/>
        <v>10</v>
      </c>
      <c r="L160" s="178">
        <f t="shared" si="14"/>
        <v>1000000</v>
      </c>
      <c r="M160" s="325">
        <f t="shared" si="15"/>
        <v>2.8225465014536117E-4</v>
      </c>
      <c r="N160" s="39" t="s">
        <v>73</v>
      </c>
    </row>
    <row r="161" spans="2:14">
      <c r="B161" s="367"/>
      <c r="C161" s="367"/>
      <c r="D161" s="324" t="s">
        <v>103</v>
      </c>
      <c r="E161" s="324">
        <v>58</v>
      </c>
      <c r="F161" s="324">
        <v>181</v>
      </c>
      <c r="G161" s="324">
        <v>190</v>
      </c>
      <c r="H161" s="324" t="s">
        <v>73</v>
      </c>
      <c r="I161" s="343">
        <f t="shared" si="12"/>
        <v>10</v>
      </c>
      <c r="J161" s="324">
        <v>10</v>
      </c>
      <c r="K161" s="344">
        <f t="shared" si="13"/>
        <v>10</v>
      </c>
      <c r="L161" s="178">
        <f t="shared" si="14"/>
        <v>1000000</v>
      </c>
      <c r="M161" s="325">
        <f t="shared" si="15"/>
        <v>2.8225465014536117E-4</v>
      </c>
      <c r="N161" s="39" t="s">
        <v>73</v>
      </c>
    </row>
    <row r="162" spans="2:14">
      <c r="B162" s="367"/>
      <c r="C162" s="367"/>
      <c r="D162" s="324" t="s">
        <v>103</v>
      </c>
      <c r="E162" s="324">
        <v>59</v>
      </c>
      <c r="F162" s="324">
        <v>191</v>
      </c>
      <c r="G162" s="324">
        <v>200</v>
      </c>
      <c r="H162" s="324" t="s">
        <v>73</v>
      </c>
      <c r="I162" s="343">
        <f t="shared" si="12"/>
        <v>10</v>
      </c>
      <c r="J162" s="324">
        <v>10</v>
      </c>
      <c r="K162" s="344">
        <f t="shared" si="13"/>
        <v>10</v>
      </c>
      <c r="L162" s="178">
        <f t="shared" si="14"/>
        <v>1000000</v>
      </c>
      <c r="M162" s="325">
        <f t="shared" si="15"/>
        <v>2.8225465014536117E-4</v>
      </c>
      <c r="N162" s="39" t="s">
        <v>73</v>
      </c>
    </row>
    <row r="163" spans="2:14">
      <c r="B163" s="367"/>
      <c r="C163" s="367"/>
      <c r="D163" s="324" t="s">
        <v>100</v>
      </c>
      <c r="E163" s="324">
        <v>126</v>
      </c>
      <c r="F163" s="324">
        <v>217</v>
      </c>
      <c r="G163" s="324">
        <v>245</v>
      </c>
      <c r="H163" s="324" t="s">
        <v>73</v>
      </c>
      <c r="I163" s="343">
        <f t="shared" si="12"/>
        <v>29</v>
      </c>
      <c r="J163" s="324">
        <v>29</v>
      </c>
      <c r="K163" s="344">
        <f t="shared" si="13"/>
        <v>29</v>
      </c>
      <c r="L163" s="178">
        <f t="shared" si="14"/>
        <v>2900000</v>
      </c>
      <c r="M163" s="325">
        <f t="shared" si="15"/>
        <v>8.1853848542154731E-4</v>
      </c>
      <c r="N163" s="39" t="s">
        <v>73</v>
      </c>
    </row>
    <row r="164" spans="2:14">
      <c r="B164" s="367"/>
      <c r="C164" s="367"/>
      <c r="D164" s="324" t="s">
        <v>150</v>
      </c>
      <c r="E164" s="324">
        <v>149</v>
      </c>
      <c r="F164" s="324">
        <v>265</v>
      </c>
      <c r="G164" s="324">
        <v>293</v>
      </c>
      <c r="H164" s="324" t="s">
        <v>73</v>
      </c>
      <c r="I164" s="343">
        <f t="shared" si="12"/>
        <v>29</v>
      </c>
      <c r="J164" s="324">
        <v>29</v>
      </c>
      <c r="K164" s="344">
        <f t="shared" si="13"/>
        <v>29</v>
      </c>
      <c r="L164" s="178">
        <f t="shared" si="14"/>
        <v>2900000</v>
      </c>
      <c r="M164" s="325">
        <f t="shared" si="15"/>
        <v>8.1853848542154731E-4</v>
      </c>
      <c r="N164" s="39" t="s">
        <v>73</v>
      </c>
    </row>
    <row r="165" spans="2:14">
      <c r="B165" s="368"/>
      <c r="C165" s="368"/>
      <c r="D165" s="324" t="s">
        <v>160</v>
      </c>
      <c r="E165" s="324">
        <v>4</v>
      </c>
      <c r="F165" s="324">
        <v>26</v>
      </c>
      <c r="G165" s="324">
        <v>60</v>
      </c>
      <c r="H165" s="324" t="s">
        <v>73</v>
      </c>
      <c r="I165" s="343">
        <f t="shared" si="12"/>
        <v>35</v>
      </c>
      <c r="J165" s="324">
        <v>35</v>
      </c>
      <c r="K165" s="344">
        <f t="shared" si="13"/>
        <v>35</v>
      </c>
      <c r="L165" s="178">
        <f t="shared" si="14"/>
        <v>3500000</v>
      </c>
      <c r="M165" s="325">
        <f t="shared" si="15"/>
        <v>9.878912755087641E-4</v>
      </c>
      <c r="N165" s="39" t="s">
        <v>73</v>
      </c>
    </row>
    <row r="166" spans="2:14">
      <c r="B166" s="366">
        <v>9</v>
      </c>
      <c r="C166" s="366" t="s">
        <v>161</v>
      </c>
      <c r="D166" s="324" t="s">
        <v>96</v>
      </c>
      <c r="E166" s="324">
        <v>26</v>
      </c>
      <c r="F166" s="324">
        <v>101</v>
      </c>
      <c r="G166" s="324">
        <v>150</v>
      </c>
      <c r="H166" s="324" t="s">
        <v>73</v>
      </c>
      <c r="I166" s="343">
        <f t="shared" si="12"/>
        <v>50</v>
      </c>
      <c r="J166" s="324">
        <v>50</v>
      </c>
      <c r="K166" s="344">
        <f t="shared" si="13"/>
        <v>50</v>
      </c>
      <c r="L166" s="178">
        <f t="shared" si="14"/>
        <v>5000000</v>
      </c>
      <c r="M166" s="325">
        <f t="shared" si="15"/>
        <v>1.4112732507268056E-3</v>
      </c>
      <c r="N166" s="39" t="s">
        <v>73</v>
      </c>
    </row>
    <row r="167" spans="2:14">
      <c r="B167" s="367"/>
      <c r="C167" s="367"/>
      <c r="D167" s="324" t="s">
        <v>103</v>
      </c>
      <c r="E167" s="324">
        <v>49</v>
      </c>
      <c r="F167" s="324">
        <v>1</v>
      </c>
      <c r="G167" s="324">
        <v>100</v>
      </c>
      <c r="H167" s="324" t="s">
        <v>73</v>
      </c>
      <c r="I167" s="343">
        <f t="shared" si="12"/>
        <v>100</v>
      </c>
      <c r="J167" s="324">
        <v>100</v>
      </c>
      <c r="K167" s="344">
        <f t="shared" si="13"/>
        <v>100</v>
      </c>
      <c r="L167" s="178">
        <f t="shared" si="14"/>
        <v>10000000</v>
      </c>
      <c r="M167" s="325">
        <f t="shared" si="15"/>
        <v>2.8225465014536113E-3</v>
      </c>
      <c r="N167" s="39" t="s">
        <v>73</v>
      </c>
    </row>
    <row r="168" spans="2:14">
      <c r="B168" s="367"/>
      <c r="C168" s="367"/>
      <c r="D168" s="324" t="s">
        <v>100</v>
      </c>
      <c r="E168" s="324">
        <v>127</v>
      </c>
      <c r="F168" s="324">
        <v>245</v>
      </c>
      <c r="G168" s="324">
        <v>300</v>
      </c>
      <c r="H168" s="324" t="s">
        <v>73</v>
      </c>
      <c r="I168" s="343">
        <f t="shared" si="12"/>
        <v>56</v>
      </c>
      <c r="J168" s="324">
        <v>56</v>
      </c>
      <c r="K168" s="344">
        <f t="shared" si="13"/>
        <v>56</v>
      </c>
      <c r="L168" s="178">
        <f t="shared" si="14"/>
        <v>5600000</v>
      </c>
      <c r="M168" s="325">
        <f t="shared" si="15"/>
        <v>1.5806260408140224E-3</v>
      </c>
      <c r="N168" s="39" t="s">
        <v>73</v>
      </c>
    </row>
    <row r="169" spans="2:14">
      <c r="B169" s="367"/>
      <c r="C169" s="367"/>
      <c r="D169" s="324" t="s">
        <v>105</v>
      </c>
      <c r="E169" s="324">
        <v>128</v>
      </c>
      <c r="F169" s="324">
        <v>1</v>
      </c>
      <c r="G169" s="324">
        <v>91</v>
      </c>
      <c r="H169" s="324" t="s">
        <v>73</v>
      </c>
      <c r="I169" s="343">
        <f t="shared" si="12"/>
        <v>91</v>
      </c>
      <c r="J169" s="324">
        <v>91</v>
      </c>
      <c r="K169" s="344">
        <f t="shared" si="13"/>
        <v>91</v>
      </c>
      <c r="L169" s="178">
        <f t="shared" si="14"/>
        <v>9100000</v>
      </c>
      <c r="M169" s="325">
        <f t="shared" si="15"/>
        <v>2.5685173163227863E-3</v>
      </c>
      <c r="N169" s="39" t="s">
        <v>73</v>
      </c>
    </row>
    <row r="170" spans="2:14">
      <c r="B170" s="367"/>
      <c r="C170" s="367"/>
      <c r="D170" s="324" t="s">
        <v>150</v>
      </c>
      <c r="E170" s="324">
        <v>150</v>
      </c>
      <c r="F170" s="324">
        <v>217</v>
      </c>
      <c r="G170" s="324">
        <v>300</v>
      </c>
      <c r="H170" s="324" t="s">
        <v>73</v>
      </c>
      <c r="I170" s="343">
        <f t="shared" si="12"/>
        <v>84</v>
      </c>
      <c r="J170" s="324">
        <v>84</v>
      </c>
      <c r="K170" s="344">
        <f t="shared" si="13"/>
        <v>84</v>
      </c>
      <c r="L170" s="178">
        <f t="shared" si="14"/>
        <v>8400000</v>
      </c>
      <c r="M170" s="325">
        <f t="shared" si="15"/>
        <v>2.3709390612210337E-3</v>
      </c>
      <c r="N170" s="39" t="s">
        <v>73</v>
      </c>
    </row>
    <row r="171" spans="2:14">
      <c r="B171" s="367"/>
      <c r="C171" s="367"/>
      <c r="D171" s="324" t="s">
        <v>162</v>
      </c>
      <c r="E171" s="324">
        <v>151</v>
      </c>
      <c r="F171" s="324">
        <v>1</v>
      </c>
      <c r="G171" s="324">
        <v>63</v>
      </c>
      <c r="H171" s="324" t="s">
        <v>73</v>
      </c>
      <c r="I171" s="343">
        <f t="shared" si="12"/>
        <v>63</v>
      </c>
      <c r="J171" s="324">
        <v>63</v>
      </c>
      <c r="K171" s="344">
        <f t="shared" si="13"/>
        <v>63</v>
      </c>
      <c r="L171" s="178">
        <f t="shared" si="14"/>
        <v>6300000</v>
      </c>
      <c r="M171" s="325">
        <f t="shared" si="15"/>
        <v>1.7782042959157752E-3</v>
      </c>
      <c r="N171" s="39" t="s">
        <v>73</v>
      </c>
    </row>
    <row r="172" spans="2:14">
      <c r="B172" s="367"/>
      <c r="C172" s="367"/>
      <c r="D172" s="324" t="s">
        <v>163</v>
      </c>
      <c r="E172" s="324">
        <v>9</v>
      </c>
      <c r="F172" s="324">
        <v>139</v>
      </c>
      <c r="G172" s="324">
        <v>200</v>
      </c>
      <c r="H172" s="324" t="s">
        <v>73</v>
      </c>
      <c r="I172" s="343">
        <f t="shared" si="12"/>
        <v>62</v>
      </c>
      <c r="J172" s="324">
        <v>62</v>
      </c>
      <c r="K172" s="344">
        <f t="shared" si="13"/>
        <v>62</v>
      </c>
      <c r="L172" s="178">
        <f t="shared" si="14"/>
        <v>6200000</v>
      </c>
      <c r="M172" s="325">
        <f t="shared" si="15"/>
        <v>1.749978830901239E-3</v>
      </c>
      <c r="N172" s="39" t="s">
        <v>73</v>
      </c>
    </row>
    <row r="173" spans="2:14">
      <c r="B173" s="368"/>
      <c r="C173" s="368"/>
      <c r="D173" s="324" t="s">
        <v>164</v>
      </c>
      <c r="E173" s="324">
        <v>10</v>
      </c>
      <c r="F173" s="324">
        <v>1</v>
      </c>
      <c r="G173" s="324">
        <v>112</v>
      </c>
      <c r="H173" s="324" t="s">
        <v>73</v>
      </c>
      <c r="I173" s="343">
        <f t="shared" si="12"/>
        <v>112</v>
      </c>
      <c r="J173" s="324">
        <v>112</v>
      </c>
      <c r="K173" s="344">
        <f t="shared" si="13"/>
        <v>112</v>
      </c>
      <c r="L173" s="178">
        <f t="shared" si="14"/>
        <v>11200000</v>
      </c>
      <c r="M173" s="325">
        <f t="shared" si="15"/>
        <v>3.1612520816280448E-3</v>
      </c>
      <c r="N173" s="39" t="s">
        <v>73</v>
      </c>
    </row>
    <row r="174" spans="2:14">
      <c r="B174" s="366">
        <v>10</v>
      </c>
      <c r="C174" s="366" t="s">
        <v>165</v>
      </c>
      <c r="D174" s="324" t="s">
        <v>71</v>
      </c>
      <c r="E174" s="324">
        <v>22</v>
      </c>
      <c r="F174" s="324">
        <v>198</v>
      </c>
      <c r="G174" s="324">
        <v>198</v>
      </c>
      <c r="H174" s="324" t="s">
        <v>73</v>
      </c>
      <c r="I174" s="343">
        <f t="shared" si="12"/>
        <v>1</v>
      </c>
      <c r="J174" s="324">
        <v>1</v>
      </c>
      <c r="K174" s="344">
        <f t="shared" si="13"/>
        <v>1</v>
      </c>
      <c r="L174" s="178">
        <f t="shared" si="14"/>
        <v>100000</v>
      </c>
      <c r="M174" s="325">
        <f t="shared" si="15"/>
        <v>2.8225465014536116E-5</v>
      </c>
      <c r="N174" s="39" t="s">
        <v>73</v>
      </c>
    </row>
    <row r="175" spans="2:14">
      <c r="B175" s="367"/>
      <c r="C175" s="367"/>
      <c r="D175" s="324" t="s">
        <v>71</v>
      </c>
      <c r="E175" s="324">
        <v>23</v>
      </c>
      <c r="F175" s="324">
        <v>199</v>
      </c>
      <c r="G175" s="324">
        <v>199</v>
      </c>
      <c r="H175" s="324" t="s">
        <v>73</v>
      </c>
      <c r="I175" s="343">
        <f t="shared" si="12"/>
        <v>1</v>
      </c>
      <c r="J175" s="324">
        <v>1</v>
      </c>
      <c r="K175" s="344">
        <f t="shared" si="13"/>
        <v>1</v>
      </c>
      <c r="L175" s="178">
        <f t="shared" si="14"/>
        <v>100000</v>
      </c>
      <c r="M175" s="325">
        <f t="shared" si="15"/>
        <v>2.8225465014536116E-5</v>
      </c>
      <c r="N175" s="39" t="s">
        <v>73</v>
      </c>
    </row>
    <row r="176" spans="2:14">
      <c r="B176" s="367"/>
      <c r="C176" s="367"/>
      <c r="D176" s="324" t="s">
        <v>93</v>
      </c>
      <c r="E176" s="324">
        <v>78</v>
      </c>
      <c r="F176" s="324">
        <v>1</v>
      </c>
      <c r="G176" s="324">
        <v>1</v>
      </c>
      <c r="H176" s="324" t="s">
        <v>73</v>
      </c>
      <c r="I176" s="343">
        <f t="shared" si="12"/>
        <v>1</v>
      </c>
      <c r="J176" s="324">
        <v>1</v>
      </c>
      <c r="K176" s="344">
        <f t="shared" si="13"/>
        <v>1</v>
      </c>
      <c r="L176" s="178">
        <f t="shared" si="14"/>
        <v>100000</v>
      </c>
      <c r="M176" s="325">
        <f t="shared" si="15"/>
        <v>2.8225465014536116E-5</v>
      </c>
      <c r="N176" s="39" t="s">
        <v>73</v>
      </c>
    </row>
    <row r="177" spans="2:14">
      <c r="B177" s="367"/>
      <c r="C177" s="367"/>
      <c r="D177" s="324" t="s">
        <v>104</v>
      </c>
      <c r="E177" s="324">
        <v>78</v>
      </c>
      <c r="F177" s="324">
        <v>192</v>
      </c>
      <c r="G177" s="324">
        <v>200</v>
      </c>
      <c r="H177" s="324" t="s">
        <v>73</v>
      </c>
      <c r="I177" s="343">
        <f t="shared" si="12"/>
        <v>9</v>
      </c>
      <c r="J177" s="324">
        <v>9</v>
      </c>
      <c r="K177" s="344">
        <f t="shared" si="13"/>
        <v>9</v>
      </c>
      <c r="L177" s="178">
        <f t="shared" si="14"/>
        <v>900000</v>
      </c>
      <c r="M177" s="325">
        <f t="shared" si="15"/>
        <v>2.5402918513082502E-4</v>
      </c>
      <c r="N177" s="39" t="s">
        <v>73</v>
      </c>
    </row>
    <row r="178" spans="2:14">
      <c r="B178" s="367"/>
      <c r="C178" s="367"/>
      <c r="D178" s="324" t="s">
        <v>93</v>
      </c>
      <c r="E178" s="324">
        <v>79</v>
      </c>
      <c r="F178" s="324">
        <v>2</v>
      </c>
      <c r="G178" s="324">
        <v>11</v>
      </c>
      <c r="H178" s="324" t="s">
        <v>73</v>
      </c>
      <c r="I178" s="343">
        <f t="shared" si="12"/>
        <v>10</v>
      </c>
      <c r="J178" s="324">
        <v>10</v>
      </c>
      <c r="K178" s="344">
        <f t="shared" si="13"/>
        <v>10</v>
      </c>
      <c r="L178" s="178">
        <f t="shared" si="14"/>
        <v>1000000</v>
      </c>
      <c r="M178" s="325">
        <f t="shared" si="15"/>
        <v>2.8225465014536117E-4</v>
      </c>
      <c r="N178" s="39" t="s">
        <v>73</v>
      </c>
    </row>
    <row r="179" spans="2:14">
      <c r="B179" s="367"/>
      <c r="C179" s="367"/>
      <c r="D179" s="324" t="s">
        <v>93</v>
      </c>
      <c r="E179" s="324">
        <v>80</v>
      </c>
      <c r="F179" s="324">
        <v>12</v>
      </c>
      <c r="G179" s="324">
        <v>21</v>
      </c>
      <c r="H179" s="324" t="s">
        <v>73</v>
      </c>
      <c r="I179" s="343">
        <f t="shared" si="12"/>
        <v>10</v>
      </c>
      <c r="J179" s="324">
        <v>10</v>
      </c>
      <c r="K179" s="344">
        <f t="shared" si="13"/>
        <v>10</v>
      </c>
      <c r="L179" s="178">
        <f t="shared" si="14"/>
        <v>1000000</v>
      </c>
      <c r="M179" s="325">
        <f t="shared" si="15"/>
        <v>2.8225465014536117E-4</v>
      </c>
      <c r="N179" s="39" t="s">
        <v>73</v>
      </c>
    </row>
    <row r="180" spans="2:14">
      <c r="B180" s="367"/>
      <c r="C180" s="367"/>
      <c r="D180" s="324" t="s">
        <v>93</v>
      </c>
      <c r="E180" s="324">
        <v>81</v>
      </c>
      <c r="F180" s="324">
        <v>22</v>
      </c>
      <c r="G180" s="324">
        <v>71</v>
      </c>
      <c r="H180" s="324" t="s">
        <v>73</v>
      </c>
      <c r="I180" s="343">
        <f t="shared" si="12"/>
        <v>50</v>
      </c>
      <c r="J180" s="324">
        <v>50</v>
      </c>
      <c r="K180" s="344">
        <f t="shared" si="13"/>
        <v>50</v>
      </c>
      <c r="L180" s="178">
        <f t="shared" si="14"/>
        <v>5000000</v>
      </c>
      <c r="M180" s="325">
        <f t="shared" si="15"/>
        <v>1.4112732507268056E-3</v>
      </c>
      <c r="N180" s="39" t="s">
        <v>73</v>
      </c>
    </row>
    <row r="181" spans="2:14">
      <c r="B181" s="367"/>
      <c r="C181" s="367"/>
      <c r="D181" s="324" t="s">
        <v>93</v>
      </c>
      <c r="E181" s="324">
        <v>82</v>
      </c>
      <c r="F181" s="324">
        <v>72</v>
      </c>
      <c r="G181" s="324">
        <v>72</v>
      </c>
      <c r="H181" s="324" t="s">
        <v>73</v>
      </c>
      <c r="I181" s="343">
        <f t="shared" si="12"/>
        <v>1</v>
      </c>
      <c r="J181" s="324">
        <v>1</v>
      </c>
      <c r="K181" s="344">
        <f t="shared" si="13"/>
        <v>1</v>
      </c>
      <c r="L181" s="178">
        <f t="shared" si="14"/>
        <v>100000</v>
      </c>
      <c r="M181" s="325">
        <f t="shared" si="15"/>
        <v>2.8225465014536116E-5</v>
      </c>
      <c r="N181" s="39" t="s">
        <v>73</v>
      </c>
    </row>
    <row r="182" spans="2:14">
      <c r="B182" s="367"/>
      <c r="C182" s="367"/>
      <c r="D182" s="324" t="s">
        <v>93</v>
      </c>
      <c r="E182" s="324">
        <v>83</v>
      </c>
      <c r="F182" s="324">
        <v>73</v>
      </c>
      <c r="G182" s="324">
        <v>82</v>
      </c>
      <c r="H182" s="324" t="s">
        <v>73</v>
      </c>
      <c r="I182" s="343">
        <f t="shared" si="12"/>
        <v>10</v>
      </c>
      <c r="J182" s="324">
        <v>10</v>
      </c>
      <c r="K182" s="344">
        <f t="shared" si="13"/>
        <v>10</v>
      </c>
      <c r="L182" s="178">
        <f t="shared" si="14"/>
        <v>1000000</v>
      </c>
      <c r="M182" s="325">
        <f t="shared" si="15"/>
        <v>2.8225465014536117E-4</v>
      </c>
      <c r="N182" s="39" t="s">
        <v>73</v>
      </c>
    </row>
    <row r="183" spans="2:14">
      <c r="B183" s="367"/>
      <c r="C183" s="367"/>
      <c r="D183" s="324" t="s">
        <v>93</v>
      </c>
      <c r="E183" s="324">
        <v>84</v>
      </c>
      <c r="F183" s="324">
        <v>83</v>
      </c>
      <c r="G183" s="324">
        <v>92</v>
      </c>
      <c r="H183" s="324" t="s">
        <v>73</v>
      </c>
      <c r="I183" s="343">
        <f t="shared" si="12"/>
        <v>10</v>
      </c>
      <c r="J183" s="324">
        <v>10</v>
      </c>
      <c r="K183" s="344">
        <f t="shared" si="13"/>
        <v>10</v>
      </c>
      <c r="L183" s="178">
        <f t="shared" si="14"/>
        <v>1000000</v>
      </c>
      <c r="M183" s="325">
        <f t="shared" si="15"/>
        <v>2.8225465014536117E-4</v>
      </c>
      <c r="N183" s="39" t="s">
        <v>73</v>
      </c>
    </row>
    <row r="184" spans="2:14">
      <c r="B184" s="367"/>
      <c r="C184" s="367"/>
      <c r="D184" s="324" t="s">
        <v>93</v>
      </c>
      <c r="E184" s="324">
        <v>85</v>
      </c>
      <c r="F184" s="324">
        <v>93</v>
      </c>
      <c r="G184" s="324">
        <v>102</v>
      </c>
      <c r="H184" s="324" t="s">
        <v>73</v>
      </c>
      <c r="I184" s="343">
        <f t="shared" si="12"/>
        <v>10</v>
      </c>
      <c r="J184" s="324">
        <v>10</v>
      </c>
      <c r="K184" s="344">
        <f t="shared" si="13"/>
        <v>10</v>
      </c>
      <c r="L184" s="178">
        <f t="shared" si="14"/>
        <v>1000000</v>
      </c>
      <c r="M184" s="325">
        <f t="shared" si="15"/>
        <v>2.8225465014536117E-4</v>
      </c>
      <c r="N184" s="39" t="s">
        <v>73</v>
      </c>
    </row>
    <row r="185" spans="2:14">
      <c r="B185" s="367"/>
      <c r="C185" s="367"/>
      <c r="D185" s="324" t="s">
        <v>93</v>
      </c>
      <c r="E185" s="324">
        <v>86</v>
      </c>
      <c r="F185" s="324">
        <v>103</v>
      </c>
      <c r="G185" s="324">
        <v>112</v>
      </c>
      <c r="H185" s="324" t="s">
        <v>73</v>
      </c>
      <c r="I185" s="343">
        <f t="shared" si="12"/>
        <v>10</v>
      </c>
      <c r="J185" s="324">
        <v>10</v>
      </c>
      <c r="K185" s="344">
        <f t="shared" si="13"/>
        <v>10</v>
      </c>
      <c r="L185" s="178">
        <f t="shared" si="14"/>
        <v>1000000</v>
      </c>
      <c r="M185" s="325">
        <f t="shared" si="15"/>
        <v>2.8225465014536117E-4</v>
      </c>
      <c r="N185" s="39" t="s">
        <v>73</v>
      </c>
    </row>
    <row r="186" spans="2:14">
      <c r="B186" s="367"/>
      <c r="C186" s="367"/>
      <c r="D186" s="324" t="s">
        <v>93</v>
      </c>
      <c r="E186" s="324">
        <v>87</v>
      </c>
      <c r="F186" s="324">
        <v>113</v>
      </c>
      <c r="G186" s="324">
        <v>122</v>
      </c>
      <c r="H186" s="324" t="s">
        <v>73</v>
      </c>
      <c r="I186" s="343">
        <f t="shared" si="12"/>
        <v>10</v>
      </c>
      <c r="J186" s="324">
        <v>10</v>
      </c>
      <c r="K186" s="344">
        <f t="shared" si="13"/>
        <v>10</v>
      </c>
      <c r="L186" s="178">
        <f t="shared" si="14"/>
        <v>1000000</v>
      </c>
      <c r="M186" s="325">
        <f t="shared" si="15"/>
        <v>2.8225465014536117E-4</v>
      </c>
      <c r="N186" s="39" t="s">
        <v>73</v>
      </c>
    </row>
    <row r="187" spans="2:14">
      <c r="B187" s="367"/>
      <c r="C187" s="367"/>
      <c r="D187" s="324" t="s">
        <v>93</v>
      </c>
      <c r="E187" s="324">
        <v>88</v>
      </c>
      <c r="F187" s="324">
        <v>123</v>
      </c>
      <c r="G187" s="324">
        <v>132</v>
      </c>
      <c r="H187" s="324" t="s">
        <v>73</v>
      </c>
      <c r="I187" s="343">
        <f t="shared" si="12"/>
        <v>10</v>
      </c>
      <c r="J187" s="324">
        <v>10</v>
      </c>
      <c r="K187" s="344">
        <f t="shared" si="13"/>
        <v>10</v>
      </c>
      <c r="L187" s="178">
        <f t="shared" si="14"/>
        <v>1000000</v>
      </c>
      <c r="M187" s="325">
        <f t="shared" si="15"/>
        <v>2.8225465014536117E-4</v>
      </c>
      <c r="N187" s="39" t="s">
        <v>73</v>
      </c>
    </row>
    <row r="188" spans="2:14">
      <c r="B188" s="367"/>
      <c r="C188" s="367"/>
      <c r="D188" s="324" t="s">
        <v>106</v>
      </c>
      <c r="E188" s="324">
        <v>129</v>
      </c>
      <c r="F188" s="324">
        <v>92</v>
      </c>
      <c r="G188" s="324">
        <v>231</v>
      </c>
      <c r="H188" s="324" t="s">
        <v>73</v>
      </c>
      <c r="I188" s="343">
        <f t="shared" si="12"/>
        <v>140</v>
      </c>
      <c r="J188" s="324">
        <v>140</v>
      </c>
      <c r="K188" s="344">
        <f t="shared" si="13"/>
        <v>140</v>
      </c>
      <c r="L188" s="178">
        <f t="shared" si="14"/>
        <v>14000000</v>
      </c>
      <c r="M188" s="325">
        <f t="shared" si="15"/>
        <v>3.9515651020350564E-3</v>
      </c>
      <c r="N188" s="39" t="s">
        <v>73</v>
      </c>
    </row>
    <row r="189" spans="2:14">
      <c r="B189" s="367"/>
      <c r="C189" s="367"/>
      <c r="D189" s="324" t="s">
        <v>162</v>
      </c>
      <c r="E189" s="324">
        <v>152</v>
      </c>
      <c r="F189" s="324">
        <v>64</v>
      </c>
      <c r="G189" s="324">
        <v>203</v>
      </c>
      <c r="H189" s="324" t="s">
        <v>73</v>
      </c>
      <c r="I189" s="343">
        <f t="shared" si="12"/>
        <v>140</v>
      </c>
      <c r="J189" s="324">
        <v>140</v>
      </c>
      <c r="K189" s="344">
        <f t="shared" si="13"/>
        <v>140</v>
      </c>
      <c r="L189" s="178">
        <f t="shared" si="14"/>
        <v>14000000</v>
      </c>
      <c r="M189" s="325">
        <f t="shared" si="15"/>
        <v>3.9515651020350564E-3</v>
      </c>
      <c r="N189" s="39" t="s">
        <v>73</v>
      </c>
    </row>
    <row r="190" spans="2:14">
      <c r="B190" s="367"/>
      <c r="C190" s="367"/>
      <c r="D190" s="324" t="s">
        <v>158</v>
      </c>
      <c r="E190" s="324">
        <v>8</v>
      </c>
      <c r="F190" s="324">
        <v>173</v>
      </c>
      <c r="G190" s="324">
        <v>200</v>
      </c>
      <c r="H190" s="324" t="s">
        <v>73</v>
      </c>
      <c r="I190" s="343">
        <f t="shared" si="12"/>
        <v>28</v>
      </c>
      <c r="J190" s="324">
        <v>28</v>
      </c>
      <c r="K190" s="344">
        <f t="shared" si="13"/>
        <v>28</v>
      </c>
      <c r="L190" s="178">
        <f t="shared" si="14"/>
        <v>2800000</v>
      </c>
      <c r="M190" s="325">
        <f t="shared" si="15"/>
        <v>7.9031302040701121E-4</v>
      </c>
      <c r="N190" s="39" t="s">
        <v>73</v>
      </c>
    </row>
    <row r="191" spans="2:14">
      <c r="B191" s="368"/>
      <c r="C191" s="368"/>
      <c r="D191" s="324" t="s">
        <v>163</v>
      </c>
      <c r="E191" s="324">
        <v>9</v>
      </c>
      <c r="F191" s="324">
        <v>1</v>
      </c>
      <c r="G191" s="324">
        <v>138</v>
      </c>
      <c r="H191" s="324" t="s">
        <v>73</v>
      </c>
      <c r="I191" s="343">
        <f t="shared" ref="I191:I222" si="16">IF(H191="Ordinaria",+J191,0)</f>
        <v>138</v>
      </c>
      <c r="J191" s="324">
        <v>138</v>
      </c>
      <c r="K191" s="344">
        <f t="shared" ref="K191:K222" si="17">+I191</f>
        <v>138</v>
      </c>
      <c r="L191" s="178">
        <f t="shared" ref="L191:L222" si="18">J191*100000</f>
        <v>13800000</v>
      </c>
      <c r="M191" s="325">
        <f t="shared" ref="M191:M222" si="19">+L191/$L$247</f>
        <v>3.895114172005984E-3</v>
      </c>
      <c r="N191" s="39" t="s">
        <v>73</v>
      </c>
    </row>
    <row r="192" spans="2:14">
      <c r="B192" s="366">
        <v>11</v>
      </c>
      <c r="C192" s="366" t="s">
        <v>166</v>
      </c>
      <c r="D192" s="324" t="s">
        <v>72</v>
      </c>
      <c r="E192" s="324">
        <v>1</v>
      </c>
      <c r="F192" s="324">
        <v>1</v>
      </c>
      <c r="G192" s="324">
        <v>100</v>
      </c>
      <c r="H192" s="324" t="s">
        <v>73</v>
      </c>
      <c r="I192" s="343">
        <f t="shared" si="16"/>
        <v>100</v>
      </c>
      <c r="J192" s="324">
        <v>100</v>
      </c>
      <c r="K192" s="344">
        <f t="shared" si="17"/>
        <v>100</v>
      </c>
      <c r="L192" s="178">
        <f t="shared" si="18"/>
        <v>10000000</v>
      </c>
      <c r="M192" s="325">
        <f t="shared" si="19"/>
        <v>2.8225465014536113E-3</v>
      </c>
      <c r="N192" s="39" t="s">
        <v>73</v>
      </c>
    </row>
    <row r="193" spans="2:14">
      <c r="B193" s="367"/>
      <c r="C193" s="367"/>
      <c r="D193" s="324" t="s">
        <v>71</v>
      </c>
      <c r="E193" s="324">
        <v>9</v>
      </c>
      <c r="F193" s="324">
        <v>1</v>
      </c>
      <c r="G193" s="324">
        <v>50</v>
      </c>
      <c r="H193" s="324" t="s">
        <v>73</v>
      </c>
      <c r="I193" s="343">
        <f t="shared" si="16"/>
        <v>50</v>
      </c>
      <c r="J193" s="324">
        <v>50</v>
      </c>
      <c r="K193" s="344">
        <f t="shared" si="17"/>
        <v>50</v>
      </c>
      <c r="L193" s="178">
        <f t="shared" si="18"/>
        <v>5000000</v>
      </c>
      <c r="M193" s="325">
        <f t="shared" si="19"/>
        <v>1.4112732507268056E-3</v>
      </c>
      <c r="N193" s="39" t="s">
        <v>73</v>
      </c>
    </row>
    <row r="194" spans="2:14">
      <c r="B194" s="367"/>
      <c r="C194" s="367"/>
      <c r="D194" s="324" t="s">
        <v>106</v>
      </c>
      <c r="E194" s="324">
        <v>130</v>
      </c>
      <c r="F194" s="324">
        <v>232</v>
      </c>
      <c r="G194" s="324">
        <v>300</v>
      </c>
      <c r="H194" s="324" t="s">
        <v>73</v>
      </c>
      <c r="I194" s="343">
        <f t="shared" si="16"/>
        <v>69</v>
      </c>
      <c r="J194" s="324">
        <v>69</v>
      </c>
      <c r="K194" s="344">
        <f t="shared" si="17"/>
        <v>69</v>
      </c>
      <c r="L194" s="178">
        <f t="shared" si="18"/>
        <v>6900000</v>
      </c>
      <c r="M194" s="325">
        <f t="shared" si="19"/>
        <v>1.947557086002992E-3</v>
      </c>
      <c r="N194" s="39" t="s">
        <v>73</v>
      </c>
    </row>
    <row r="195" spans="2:14">
      <c r="B195" s="367"/>
      <c r="C195" s="367"/>
      <c r="D195" s="324" t="s">
        <v>106</v>
      </c>
      <c r="E195" s="324">
        <v>131</v>
      </c>
      <c r="F195" s="324">
        <v>1</v>
      </c>
      <c r="G195" s="324">
        <v>78</v>
      </c>
      <c r="H195" s="324" t="s">
        <v>73</v>
      </c>
      <c r="I195" s="343">
        <f t="shared" si="16"/>
        <v>78</v>
      </c>
      <c r="J195" s="324">
        <v>78</v>
      </c>
      <c r="K195" s="344">
        <f t="shared" si="17"/>
        <v>78</v>
      </c>
      <c r="L195" s="178">
        <f t="shared" si="18"/>
        <v>7800000</v>
      </c>
      <c r="M195" s="325">
        <f t="shared" si="19"/>
        <v>2.201586271133817E-3</v>
      </c>
      <c r="N195" s="39" t="s">
        <v>73</v>
      </c>
    </row>
    <row r="196" spans="2:14">
      <c r="B196" s="367"/>
      <c r="C196" s="367"/>
      <c r="D196" s="324" t="s">
        <v>162</v>
      </c>
      <c r="E196" s="324">
        <v>153</v>
      </c>
      <c r="F196" s="324">
        <v>204</v>
      </c>
      <c r="G196" s="324">
        <v>300</v>
      </c>
      <c r="H196" s="324" t="s">
        <v>73</v>
      </c>
      <c r="I196" s="343">
        <f t="shared" si="16"/>
        <v>97</v>
      </c>
      <c r="J196" s="324">
        <v>97</v>
      </c>
      <c r="K196" s="344">
        <f t="shared" si="17"/>
        <v>97</v>
      </c>
      <c r="L196" s="178">
        <f t="shared" si="18"/>
        <v>9700000</v>
      </c>
      <c r="M196" s="325">
        <f t="shared" si="19"/>
        <v>2.7378701064100031E-3</v>
      </c>
      <c r="N196" s="39" t="s">
        <v>73</v>
      </c>
    </row>
    <row r="197" spans="2:14">
      <c r="B197" s="367"/>
      <c r="C197" s="367"/>
      <c r="D197" s="324" t="s">
        <v>152</v>
      </c>
      <c r="E197" s="324">
        <v>154</v>
      </c>
      <c r="F197" s="324">
        <v>1</v>
      </c>
      <c r="G197" s="324">
        <v>50</v>
      </c>
      <c r="H197" s="324" t="s">
        <v>73</v>
      </c>
      <c r="I197" s="343">
        <f t="shared" si="16"/>
        <v>50</v>
      </c>
      <c r="J197" s="324">
        <v>50</v>
      </c>
      <c r="K197" s="344">
        <f t="shared" si="17"/>
        <v>50</v>
      </c>
      <c r="L197" s="178">
        <f t="shared" si="18"/>
        <v>5000000</v>
      </c>
      <c r="M197" s="325">
        <f t="shared" si="19"/>
        <v>1.4112732507268056E-3</v>
      </c>
      <c r="N197" s="39" t="s">
        <v>73</v>
      </c>
    </row>
    <row r="198" spans="2:14">
      <c r="B198" s="367"/>
      <c r="C198" s="367"/>
      <c r="D198" s="324" t="s">
        <v>164</v>
      </c>
      <c r="E198" s="324">
        <v>11</v>
      </c>
      <c r="F198" s="324">
        <v>113</v>
      </c>
      <c r="G198" s="324">
        <v>200</v>
      </c>
      <c r="H198" s="324" t="s">
        <v>73</v>
      </c>
      <c r="I198" s="343">
        <f t="shared" si="16"/>
        <v>88</v>
      </c>
      <c r="J198" s="324">
        <v>88</v>
      </c>
      <c r="K198" s="344">
        <f t="shared" si="17"/>
        <v>88</v>
      </c>
      <c r="L198" s="178">
        <f t="shared" si="18"/>
        <v>8800000</v>
      </c>
      <c r="M198" s="325">
        <f t="shared" si="19"/>
        <v>2.4838409212791781E-3</v>
      </c>
      <c r="N198" s="39" t="s">
        <v>73</v>
      </c>
    </row>
    <row r="199" spans="2:14">
      <c r="B199" s="368"/>
      <c r="C199" s="368"/>
      <c r="D199" s="324" t="s">
        <v>87</v>
      </c>
      <c r="E199" s="324">
        <v>12</v>
      </c>
      <c r="F199" s="324">
        <v>1</v>
      </c>
      <c r="G199" s="324">
        <v>112</v>
      </c>
      <c r="H199" s="324" t="s">
        <v>73</v>
      </c>
      <c r="I199" s="343">
        <f t="shared" si="16"/>
        <v>112</v>
      </c>
      <c r="J199" s="324">
        <v>112</v>
      </c>
      <c r="K199" s="344">
        <f t="shared" si="17"/>
        <v>112</v>
      </c>
      <c r="L199" s="178">
        <f t="shared" si="18"/>
        <v>11200000</v>
      </c>
      <c r="M199" s="325">
        <f t="shared" si="19"/>
        <v>3.1612520816280448E-3</v>
      </c>
      <c r="N199" s="39" t="s">
        <v>73</v>
      </c>
    </row>
    <row r="200" spans="2:14">
      <c r="B200" s="366">
        <v>12</v>
      </c>
      <c r="C200" s="366" t="s">
        <v>167</v>
      </c>
      <c r="D200" s="324" t="s">
        <v>98</v>
      </c>
      <c r="E200" s="324">
        <v>1</v>
      </c>
      <c r="F200" s="324">
        <v>1</v>
      </c>
      <c r="G200" s="324">
        <v>425</v>
      </c>
      <c r="H200" s="324" t="s">
        <v>73</v>
      </c>
      <c r="I200" s="343">
        <f t="shared" si="16"/>
        <v>425</v>
      </c>
      <c r="J200" s="324">
        <v>425</v>
      </c>
      <c r="K200" s="344">
        <f t="shared" si="17"/>
        <v>425</v>
      </c>
      <c r="L200" s="178">
        <f t="shared" si="18"/>
        <v>42500000</v>
      </c>
      <c r="M200" s="325">
        <f t="shared" si="19"/>
        <v>1.1995822631177849E-2</v>
      </c>
      <c r="N200" s="39" t="s">
        <v>73</v>
      </c>
    </row>
    <row r="201" spans="2:14">
      <c r="B201" s="367"/>
      <c r="C201" s="367"/>
      <c r="D201" s="324" t="s">
        <v>117</v>
      </c>
      <c r="E201" s="324">
        <v>183</v>
      </c>
      <c r="F201" s="324">
        <v>102</v>
      </c>
      <c r="G201" s="324">
        <v>300</v>
      </c>
      <c r="H201" s="324" t="s">
        <v>73</v>
      </c>
      <c r="I201" s="343">
        <f t="shared" si="16"/>
        <v>199</v>
      </c>
      <c r="J201" s="324">
        <v>199</v>
      </c>
      <c r="K201" s="344">
        <f t="shared" si="17"/>
        <v>199</v>
      </c>
      <c r="L201" s="178">
        <f t="shared" si="18"/>
        <v>19900000</v>
      </c>
      <c r="M201" s="325">
        <f t="shared" si="19"/>
        <v>5.6168675378926872E-3</v>
      </c>
      <c r="N201" s="39" t="s">
        <v>73</v>
      </c>
    </row>
    <row r="202" spans="2:14">
      <c r="B202" s="367"/>
      <c r="C202" s="367"/>
      <c r="D202" s="324" t="s">
        <v>115</v>
      </c>
      <c r="E202" s="324">
        <v>184</v>
      </c>
      <c r="F202" s="324">
        <v>1</v>
      </c>
      <c r="G202" s="324">
        <v>300</v>
      </c>
      <c r="H202" s="324" t="s">
        <v>73</v>
      </c>
      <c r="I202" s="343">
        <f t="shared" si="16"/>
        <v>300</v>
      </c>
      <c r="J202" s="324">
        <v>300</v>
      </c>
      <c r="K202" s="344">
        <f t="shared" si="17"/>
        <v>300</v>
      </c>
      <c r="L202" s="178">
        <f t="shared" si="18"/>
        <v>30000000</v>
      </c>
      <c r="M202" s="325">
        <f t="shared" si="19"/>
        <v>8.4676395043608351E-3</v>
      </c>
      <c r="N202" s="39" t="s">
        <v>73</v>
      </c>
    </row>
    <row r="203" spans="2:14">
      <c r="B203" s="367"/>
      <c r="C203" s="367"/>
      <c r="D203" s="324" t="s">
        <v>168</v>
      </c>
      <c r="E203" s="324">
        <v>185</v>
      </c>
      <c r="F203" s="324">
        <v>1</v>
      </c>
      <c r="G203" s="324">
        <v>300</v>
      </c>
      <c r="H203" s="324" t="s">
        <v>73</v>
      </c>
      <c r="I203" s="343">
        <f t="shared" si="16"/>
        <v>300</v>
      </c>
      <c r="J203" s="324">
        <v>300</v>
      </c>
      <c r="K203" s="344">
        <f t="shared" si="17"/>
        <v>300</v>
      </c>
      <c r="L203" s="178">
        <f t="shared" si="18"/>
        <v>30000000</v>
      </c>
      <c r="M203" s="325">
        <f t="shared" si="19"/>
        <v>8.4676395043608351E-3</v>
      </c>
      <c r="N203" s="39" t="s">
        <v>73</v>
      </c>
    </row>
    <row r="204" spans="2:14">
      <c r="B204" s="367"/>
      <c r="C204" s="367"/>
      <c r="D204" s="324" t="s">
        <v>169</v>
      </c>
      <c r="E204" s="324">
        <v>186</v>
      </c>
      <c r="F204" s="324">
        <v>1</v>
      </c>
      <c r="G204" s="324">
        <v>300</v>
      </c>
      <c r="H204" s="324" t="s">
        <v>73</v>
      </c>
      <c r="I204" s="343">
        <f t="shared" si="16"/>
        <v>300</v>
      </c>
      <c r="J204" s="324">
        <v>300</v>
      </c>
      <c r="K204" s="344">
        <f t="shared" si="17"/>
        <v>300</v>
      </c>
      <c r="L204" s="178">
        <f t="shared" si="18"/>
        <v>30000000</v>
      </c>
      <c r="M204" s="325">
        <f t="shared" si="19"/>
        <v>8.4676395043608351E-3</v>
      </c>
      <c r="N204" s="39" t="s">
        <v>73</v>
      </c>
    </row>
    <row r="205" spans="2:14">
      <c r="B205" s="367"/>
      <c r="C205" s="367"/>
      <c r="D205" s="324" t="s">
        <v>170</v>
      </c>
      <c r="E205" s="324">
        <v>187</v>
      </c>
      <c r="F205" s="324">
        <v>1</v>
      </c>
      <c r="G205" s="324">
        <v>300</v>
      </c>
      <c r="H205" s="324" t="s">
        <v>73</v>
      </c>
      <c r="I205" s="343">
        <f t="shared" si="16"/>
        <v>300</v>
      </c>
      <c r="J205" s="324">
        <v>300</v>
      </c>
      <c r="K205" s="344">
        <f t="shared" si="17"/>
        <v>300</v>
      </c>
      <c r="L205" s="178">
        <f t="shared" si="18"/>
        <v>30000000</v>
      </c>
      <c r="M205" s="325">
        <f t="shared" si="19"/>
        <v>8.4676395043608351E-3</v>
      </c>
      <c r="N205" s="39" t="s">
        <v>73</v>
      </c>
    </row>
    <row r="206" spans="2:14">
      <c r="B206" s="367"/>
      <c r="C206" s="367"/>
      <c r="D206" s="324" t="s">
        <v>171</v>
      </c>
      <c r="E206" s="324">
        <v>188</v>
      </c>
      <c r="F206" s="324">
        <v>1</v>
      </c>
      <c r="G206" s="324">
        <v>300</v>
      </c>
      <c r="H206" s="324" t="s">
        <v>73</v>
      </c>
      <c r="I206" s="343">
        <f t="shared" si="16"/>
        <v>300</v>
      </c>
      <c r="J206" s="324">
        <v>300</v>
      </c>
      <c r="K206" s="344">
        <f t="shared" si="17"/>
        <v>300</v>
      </c>
      <c r="L206" s="178">
        <f t="shared" si="18"/>
        <v>30000000</v>
      </c>
      <c r="M206" s="325">
        <f t="shared" si="19"/>
        <v>8.4676395043608351E-3</v>
      </c>
      <c r="N206" s="39" t="s">
        <v>73</v>
      </c>
    </row>
    <row r="207" spans="2:14">
      <c r="B207" s="367"/>
      <c r="C207" s="367"/>
      <c r="D207" s="324" t="s">
        <v>172</v>
      </c>
      <c r="E207" s="324">
        <v>189</v>
      </c>
      <c r="F207" s="324">
        <v>1</v>
      </c>
      <c r="G207" s="324">
        <v>300</v>
      </c>
      <c r="H207" s="324" t="s">
        <v>73</v>
      </c>
      <c r="I207" s="343">
        <f t="shared" si="16"/>
        <v>300</v>
      </c>
      <c r="J207" s="324">
        <v>300</v>
      </c>
      <c r="K207" s="344">
        <f t="shared" si="17"/>
        <v>300</v>
      </c>
      <c r="L207" s="178">
        <f t="shared" si="18"/>
        <v>30000000</v>
      </c>
      <c r="M207" s="325">
        <f t="shared" si="19"/>
        <v>8.4676395043608351E-3</v>
      </c>
      <c r="N207" s="39" t="s">
        <v>73</v>
      </c>
    </row>
    <row r="208" spans="2:14">
      <c r="B208" s="367"/>
      <c r="C208" s="367"/>
      <c r="D208" s="324" t="s">
        <v>173</v>
      </c>
      <c r="E208" s="324">
        <v>190</v>
      </c>
      <c r="F208" s="324">
        <v>1</v>
      </c>
      <c r="G208" s="324">
        <v>300</v>
      </c>
      <c r="H208" s="324" t="s">
        <v>73</v>
      </c>
      <c r="I208" s="343">
        <f t="shared" si="16"/>
        <v>300</v>
      </c>
      <c r="J208" s="324">
        <v>300</v>
      </c>
      <c r="K208" s="344">
        <f t="shared" si="17"/>
        <v>300</v>
      </c>
      <c r="L208" s="178">
        <f t="shared" si="18"/>
        <v>30000000</v>
      </c>
      <c r="M208" s="325">
        <f t="shared" si="19"/>
        <v>8.4676395043608351E-3</v>
      </c>
      <c r="N208" s="39" t="s">
        <v>73</v>
      </c>
    </row>
    <row r="209" spans="2:14">
      <c r="B209" s="367"/>
      <c r="C209" s="367"/>
      <c r="D209" s="324" t="s">
        <v>174</v>
      </c>
      <c r="E209" s="324">
        <v>191</v>
      </c>
      <c r="F209" s="324">
        <v>1</v>
      </c>
      <c r="G209" s="324">
        <v>300</v>
      </c>
      <c r="H209" s="324" t="s">
        <v>73</v>
      </c>
      <c r="I209" s="343">
        <f t="shared" si="16"/>
        <v>300</v>
      </c>
      <c r="J209" s="324">
        <v>300</v>
      </c>
      <c r="K209" s="344">
        <f t="shared" si="17"/>
        <v>300</v>
      </c>
      <c r="L209" s="178">
        <f t="shared" si="18"/>
        <v>30000000</v>
      </c>
      <c r="M209" s="325">
        <f t="shared" si="19"/>
        <v>8.4676395043608351E-3</v>
      </c>
      <c r="N209" s="39" t="s">
        <v>73</v>
      </c>
    </row>
    <row r="210" spans="2:14">
      <c r="B210" s="367"/>
      <c r="C210" s="367"/>
      <c r="D210" s="324" t="s">
        <v>175</v>
      </c>
      <c r="E210" s="324">
        <v>192</v>
      </c>
      <c r="F210" s="324">
        <v>1</v>
      </c>
      <c r="G210" s="324">
        <v>300</v>
      </c>
      <c r="H210" s="324" t="s">
        <v>73</v>
      </c>
      <c r="I210" s="343">
        <f t="shared" si="16"/>
        <v>300</v>
      </c>
      <c r="J210" s="324">
        <v>300</v>
      </c>
      <c r="K210" s="344">
        <f t="shared" si="17"/>
        <v>300</v>
      </c>
      <c r="L210" s="178">
        <f t="shared" si="18"/>
        <v>30000000</v>
      </c>
      <c r="M210" s="325">
        <f t="shared" si="19"/>
        <v>8.4676395043608351E-3</v>
      </c>
      <c r="N210" s="39" t="s">
        <v>73</v>
      </c>
    </row>
    <row r="211" spans="2:14">
      <c r="B211" s="367"/>
      <c r="C211" s="367"/>
      <c r="D211" s="324" t="s">
        <v>176</v>
      </c>
      <c r="E211" s="324">
        <v>193</v>
      </c>
      <c r="F211" s="324">
        <v>1</v>
      </c>
      <c r="G211" s="324">
        <v>300</v>
      </c>
      <c r="H211" s="324" t="s">
        <v>73</v>
      </c>
      <c r="I211" s="343">
        <f t="shared" si="16"/>
        <v>300</v>
      </c>
      <c r="J211" s="324">
        <v>300</v>
      </c>
      <c r="K211" s="344">
        <f t="shared" si="17"/>
        <v>300</v>
      </c>
      <c r="L211" s="178">
        <f t="shared" si="18"/>
        <v>30000000</v>
      </c>
      <c r="M211" s="325">
        <f t="shared" si="19"/>
        <v>8.4676395043608351E-3</v>
      </c>
      <c r="N211" s="39" t="s">
        <v>73</v>
      </c>
    </row>
    <row r="212" spans="2:14">
      <c r="B212" s="367"/>
      <c r="C212" s="367"/>
      <c r="D212" s="324" t="s">
        <v>177</v>
      </c>
      <c r="E212" s="324">
        <v>194</v>
      </c>
      <c r="F212" s="324">
        <v>1</v>
      </c>
      <c r="G212" s="324">
        <v>300</v>
      </c>
      <c r="H212" s="324" t="s">
        <v>73</v>
      </c>
      <c r="I212" s="343">
        <f t="shared" si="16"/>
        <v>300</v>
      </c>
      <c r="J212" s="324">
        <v>300</v>
      </c>
      <c r="K212" s="344">
        <f t="shared" si="17"/>
        <v>300</v>
      </c>
      <c r="L212" s="178">
        <f t="shared" si="18"/>
        <v>30000000</v>
      </c>
      <c r="M212" s="325">
        <f t="shared" si="19"/>
        <v>8.4676395043608351E-3</v>
      </c>
      <c r="N212" s="39" t="s">
        <v>73</v>
      </c>
    </row>
    <row r="213" spans="2:14">
      <c r="B213" s="367"/>
      <c r="C213" s="367"/>
      <c r="D213" s="324" t="s">
        <v>178</v>
      </c>
      <c r="E213" s="324">
        <v>195</v>
      </c>
      <c r="F213" s="324">
        <v>1</v>
      </c>
      <c r="G213" s="324">
        <v>300</v>
      </c>
      <c r="H213" s="324" t="s">
        <v>73</v>
      </c>
      <c r="I213" s="343">
        <f t="shared" si="16"/>
        <v>300</v>
      </c>
      <c r="J213" s="324">
        <v>300</v>
      </c>
      <c r="K213" s="344">
        <f t="shared" si="17"/>
        <v>300</v>
      </c>
      <c r="L213" s="178">
        <f t="shared" si="18"/>
        <v>30000000</v>
      </c>
      <c r="M213" s="325">
        <f t="shared" si="19"/>
        <v>8.4676395043608351E-3</v>
      </c>
      <c r="N213" s="39" t="s">
        <v>73</v>
      </c>
    </row>
    <row r="214" spans="2:14">
      <c r="B214" s="367"/>
      <c r="C214" s="367"/>
      <c r="D214" s="324" t="s">
        <v>179</v>
      </c>
      <c r="E214" s="324">
        <v>196</v>
      </c>
      <c r="F214" s="324">
        <v>1</v>
      </c>
      <c r="G214" s="324">
        <v>300</v>
      </c>
      <c r="H214" s="324" t="s">
        <v>73</v>
      </c>
      <c r="I214" s="343">
        <f t="shared" si="16"/>
        <v>300</v>
      </c>
      <c r="J214" s="324">
        <v>300</v>
      </c>
      <c r="K214" s="344">
        <f t="shared" si="17"/>
        <v>300</v>
      </c>
      <c r="L214" s="178">
        <f t="shared" si="18"/>
        <v>30000000</v>
      </c>
      <c r="M214" s="325">
        <f t="shared" si="19"/>
        <v>8.4676395043608351E-3</v>
      </c>
      <c r="N214" s="39" t="s">
        <v>73</v>
      </c>
    </row>
    <row r="215" spans="2:14">
      <c r="B215" s="367"/>
      <c r="C215" s="367"/>
      <c r="D215" s="324" t="s">
        <v>180</v>
      </c>
      <c r="E215" s="324">
        <v>197</v>
      </c>
      <c r="F215" s="324">
        <v>1</v>
      </c>
      <c r="G215" s="324">
        <v>300</v>
      </c>
      <c r="H215" s="324" t="s">
        <v>73</v>
      </c>
      <c r="I215" s="343">
        <f t="shared" si="16"/>
        <v>300</v>
      </c>
      <c r="J215" s="324">
        <v>300</v>
      </c>
      <c r="K215" s="344">
        <f t="shared" si="17"/>
        <v>300</v>
      </c>
      <c r="L215" s="178">
        <f t="shared" si="18"/>
        <v>30000000</v>
      </c>
      <c r="M215" s="325">
        <f t="shared" si="19"/>
        <v>8.4676395043608351E-3</v>
      </c>
      <c r="N215" s="39" t="s">
        <v>73</v>
      </c>
    </row>
    <row r="216" spans="2:14">
      <c r="B216" s="367"/>
      <c r="C216" s="367"/>
      <c r="D216" s="324" t="s">
        <v>181</v>
      </c>
      <c r="E216" s="324">
        <v>198</v>
      </c>
      <c r="F216" s="324">
        <v>1</v>
      </c>
      <c r="G216" s="324">
        <v>300</v>
      </c>
      <c r="H216" s="324" t="s">
        <v>73</v>
      </c>
      <c r="I216" s="343">
        <f t="shared" si="16"/>
        <v>300</v>
      </c>
      <c r="J216" s="324">
        <v>300</v>
      </c>
      <c r="K216" s="344">
        <f t="shared" si="17"/>
        <v>300</v>
      </c>
      <c r="L216" s="178">
        <f t="shared" si="18"/>
        <v>30000000</v>
      </c>
      <c r="M216" s="325">
        <f t="shared" si="19"/>
        <v>8.4676395043608351E-3</v>
      </c>
      <c r="N216" s="39" t="s">
        <v>73</v>
      </c>
    </row>
    <row r="217" spans="2:14">
      <c r="B217" s="367"/>
      <c r="C217" s="367"/>
      <c r="D217" s="324" t="s">
        <v>182</v>
      </c>
      <c r="E217" s="324">
        <v>199</v>
      </c>
      <c r="F217" s="324">
        <v>1</v>
      </c>
      <c r="G217" s="324">
        <v>300</v>
      </c>
      <c r="H217" s="324" t="s">
        <v>73</v>
      </c>
      <c r="I217" s="343">
        <f t="shared" si="16"/>
        <v>300</v>
      </c>
      <c r="J217" s="324">
        <v>300</v>
      </c>
      <c r="K217" s="344">
        <f t="shared" si="17"/>
        <v>300</v>
      </c>
      <c r="L217" s="178">
        <f t="shared" si="18"/>
        <v>30000000</v>
      </c>
      <c r="M217" s="325">
        <f t="shared" si="19"/>
        <v>8.4676395043608351E-3</v>
      </c>
      <c r="N217" s="39" t="s">
        <v>73</v>
      </c>
    </row>
    <row r="218" spans="2:14">
      <c r="B218" s="367"/>
      <c r="C218" s="367"/>
      <c r="D218" s="324" t="s">
        <v>154</v>
      </c>
      <c r="E218" s="324">
        <v>200</v>
      </c>
      <c r="F218" s="324">
        <v>1</v>
      </c>
      <c r="G218" s="324">
        <v>100</v>
      </c>
      <c r="H218" s="324" t="s">
        <v>73</v>
      </c>
      <c r="I218" s="343">
        <f t="shared" si="16"/>
        <v>201</v>
      </c>
      <c r="J218" s="324">
        <v>201</v>
      </c>
      <c r="K218" s="344">
        <f t="shared" si="17"/>
        <v>201</v>
      </c>
      <c r="L218" s="178">
        <f t="shared" si="18"/>
        <v>20100000</v>
      </c>
      <c r="M218" s="325">
        <f t="shared" si="19"/>
        <v>5.6733184679217587E-3</v>
      </c>
      <c r="N218" s="39" t="s">
        <v>73</v>
      </c>
    </row>
    <row r="219" spans="2:14">
      <c r="B219" s="367"/>
      <c r="C219" s="367"/>
      <c r="D219" s="324" t="s">
        <v>93</v>
      </c>
      <c r="E219" s="324" t="s">
        <v>71</v>
      </c>
      <c r="F219" s="324">
        <v>133</v>
      </c>
      <c r="G219" s="324">
        <v>137</v>
      </c>
      <c r="H219" s="324" t="s">
        <v>73</v>
      </c>
      <c r="I219" s="343">
        <f t="shared" si="16"/>
        <v>5</v>
      </c>
      <c r="J219" s="324">
        <v>5</v>
      </c>
      <c r="K219" s="344">
        <f t="shared" si="17"/>
        <v>5</v>
      </c>
      <c r="L219" s="178">
        <f t="shared" si="18"/>
        <v>500000</v>
      </c>
      <c r="M219" s="325">
        <f t="shared" si="19"/>
        <v>1.4112732507268059E-4</v>
      </c>
      <c r="N219" s="39" t="s">
        <v>73</v>
      </c>
    </row>
    <row r="220" spans="2:14">
      <c r="B220" s="367"/>
      <c r="C220" s="367"/>
      <c r="D220" s="324" t="s">
        <v>97</v>
      </c>
      <c r="E220" s="324" t="s">
        <v>71</v>
      </c>
      <c r="F220" s="324">
        <v>1</v>
      </c>
      <c r="G220" s="324">
        <v>300</v>
      </c>
      <c r="H220" s="324" t="s">
        <v>73</v>
      </c>
      <c r="I220" s="343">
        <f t="shared" si="16"/>
        <v>200</v>
      </c>
      <c r="J220" s="324">
        <v>200</v>
      </c>
      <c r="K220" s="344">
        <f t="shared" si="17"/>
        <v>200</v>
      </c>
      <c r="L220" s="178">
        <f t="shared" si="18"/>
        <v>20000000</v>
      </c>
      <c r="M220" s="325">
        <f t="shared" si="19"/>
        <v>5.6450930029072225E-3</v>
      </c>
      <c r="N220" s="39" t="s">
        <v>73</v>
      </c>
    </row>
    <row r="221" spans="2:14">
      <c r="B221" s="367"/>
      <c r="C221" s="367"/>
      <c r="D221" s="324" t="s">
        <v>102</v>
      </c>
      <c r="E221" s="324" t="s">
        <v>71</v>
      </c>
      <c r="F221" s="324">
        <v>1</v>
      </c>
      <c r="G221" s="324">
        <v>300</v>
      </c>
      <c r="H221" s="324" t="s">
        <v>73</v>
      </c>
      <c r="I221" s="343">
        <f t="shared" si="16"/>
        <v>200</v>
      </c>
      <c r="J221" s="324">
        <v>200</v>
      </c>
      <c r="K221" s="344">
        <f t="shared" si="17"/>
        <v>200</v>
      </c>
      <c r="L221" s="178">
        <f t="shared" si="18"/>
        <v>20000000</v>
      </c>
      <c r="M221" s="325">
        <f t="shared" si="19"/>
        <v>5.6450930029072225E-3</v>
      </c>
      <c r="N221" s="39" t="s">
        <v>73</v>
      </c>
    </row>
    <row r="222" spans="2:14">
      <c r="B222" s="367"/>
      <c r="C222" s="367"/>
      <c r="D222" s="324" t="s">
        <v>79</v>
      </c>
      <c r="E222" s="324" t="s">
        <v>71</v>
      </c>
      <c r="F222" s="324">
        <v>1</v>
      </c>
      <c r="G222" s="324">
        <v>300</v>
      </c>
      <c r="H222" s="324" t="s">
        <v>73</v>
      </c>
      <c r="I222" s="343">
        <f t="shared" si="16"/>
        <v>102</v>
      </c>
      <c r="J222" s="324">
        <v>102</v>
      </c>
      <c r="K222" s="344">
        <f t="shared" si="17"/>
        <v>102</v>
      </c>
      <c r="L222" s="178">
        <f t="shared" si="18"/>
        <v>10200000</v>
      </c>
      <c r="M222" s="325">
        <f t="shared" si="19"/>
        <v>2.8789974314826837E-3</v>
      </c>
      <c r="N222" s="39" t="s">
        <v>73</v>
      </c>
    </row>
    <row r="223" spans="2:14">
      <c r="B223" s="367"/>
      <c r="C223" s="367"/>
      <c r="D223" s="324" t="s">
        <v>111</v>
      </c>
      <c r="E223" s="324" t="s">
        <v>71</v>
      </c>
      <c r="F223" s="324">
        <v>1</v>
      </c>
      <c r="G223" s="324">
        <v>63</v>
      </c>
      <c r="H223" s="324" t="s">
        <v>73</v>
      </c>
      <c r="I223" s="343">
        <f t="shared" ref="I223:I254" si="20">IF(H223="Ordinaria",+J223,0)</f>
        <v>200</v>
      </c>
      <c r="J223" s="324">
        <v>200</v>
      </c>
      <c r="K223" s="344">
        <f t="shared" ref="K223:K239" si="21">+I223</f>
        <v>200</v>
      </c>
      <c r="L223" s="178">
        <f t="shared" ref="L223:L246" si="22">J223*100000</f>
        <v>20000000</v>
      </c>
      <c r="M223" s="325">
        <f t="shared" ref="M223:M254" si="23">+L223/$L$247</f>
        <v>5.6450930029072225E-3</v>
      </c>
      <c r="N223" s="39" t="s">
        <v>73</v>
      </c>
    </row>
    <row r="224" spans="2:14">
      <c r="B224" s="368"/>
      <c r="C224" s="368"/>
      <c r="D224" s="324" t="s">
        <v>72</v>
      </c>
      <c r="E224" s="324">
        <v>1</v>
      </c>
      <c r="F224" s="324">
        <v>1</v>
      </c>
      <c r="G224" s="324">
        <f>J224-F224+1</f>
        <v>1830</v>
      </c>
      <c r="H224" s="324" t="s">
        <v>183</v>
      </c>
      <c r="I224" s="343">
        <f t="shared" si="20"/>
        <v>0</v>
      </c>
      <c r="J224" s="345">
        <v>1830</v>
      </c>
      <c r="K224" s="344">
        <f t="shared" si="21"/>
        <v>0</v>
      </c>
      <c r="L224" s="178">
        <f t="shared" si="22"/>
        <v>183000000</v>
      </c>
      <c r="M224" s="325">
        <f t="shared" si="23"/>
        <v>5.1652600976601092E-2</v>
      </c>
      <c r="N224" s="39" t="s">
        <v>183</v>
      </c>
    </row>
    <row r="225" spans="2:14">
      <c r="B225" s="366">
        <v>13</v>
      </c>
      <c r="C225" s="363" t="s">
        <v>184</v>
      </c>
      <c r="D225" s="324" t="s">
        <v>185</v>
      </c>
      <c r="E225" s="324">
        <v>169</v>
      </c>
      <c r="F225" s="324">
        <v>102</v>
      </c>
      <c r="G225" s="324">
        <v>300</v>
      </c>
      <c r="H225" s="324" t="s">
        <v>73</v>
      </c>
      <c r="I225" s="343">
        <f t="shared" si="20"/>
        <v>199</v>
      </c>
      <c r="J225" s="324">
        <v>199</v>
      </c>
      <c r="K225" s="344">
        <f t="shared" si="21"/>
        <v>199</v>
      </c>
      <c r="L225" s="178">
        <f t="shared" si="22"/>
        <v>19900000</v>
      </c>
      <c r="M225" s="325">
        <f t="shared" si="23"/>
        <v>5.6168675378926872E-3</v>
      </c>
      <c r="N225" s="39" t="s">
        <v>73</v>
      </c>
    </row>
    <row r="226" spans="2:14">
      <c r="B226" s="367"/>
      <c r="C226" s="364"/>
      <c r="D226" s="324" t="s">
        <v>186</v>
      </c>
      <c r="E226" s="324">
        <v>170</v>
      </c>
      <c r="F226" s="324">
        <v>1</v>
      </c>
      <c r="G226" s="324">
        <v>300</v>
      </c>
      <c r="H226" s="324" t="s">
        <v>73</v>
      </c>
      <c r="I226" s="343">
        <f t="shared" si="20"/>
        <v>300</v>
      </c>
      <c r="J226" s="324">
        <v>300</v>
      </c>
      <c r="K226" s="344">
        <f t="shared" si="21"/>
        <v>300</v>
      </c>
      <c r="L226" s="178">
        <f t="shared" si="22"/>
        <v>30000000</v>
      </c>
      <c r="M226" s="325">
        <f t="shared" si="23"/>
        <v>8.4676395043608351E-3</v>
      </c>
      <c r="N226" s="39" t="s">
        <v>73</v>
      </c>
    </row>
    <row r="227" spans="2:14">
      <c r="B227" s="367"/>
      <c r="C227" s="364"/>
      <c r="D227" s="324" t="s">
        <v>99</v>
      </c>
      <c r="E227" s="324">
        <v>180</v>
      </c>
      <c r="F227" s="324">
        <v>1</v>
      </c>
      <c r="G227" s="324">
        <v>300</v>
      </c>
      <c r="H227" s="324" t="s">
        <v>73</v>
      </c>
      <c r="I227" s="343">
        <f t="shared" si="20"/>
        <v>300</v>
      </c>
      <c r="J227" s="324">
        <v>300</v>
      </c>
      <c r="K227" s="344">
        <f t="shared" si="21"/>
        <v>300</v>
      </c>
      <c r="L227" s="178">
        <f t="shared" si="22"/>
        <v>30000000</v>
      </c>
      <c r="M227" s="325">
        <f t="shared" si="23"/>
        <v>8.4676395043608351E-3</v>
      </c>
      <c r="N227" s="39" t="s">
        <v>73</v>
      </c>
    </row>
    <row r="228" spans="2:14">
      <c r="B228" s="367"/>
      <c r="C228" s="364"/>
      <c r="D228" s="324" t="s">
        <v>116</v>
      </c>
      <c r="E228" s="324">
        <v>181</v>
      </c>
      <c r="F228" s="324">
        <v>1</v>
      </c>
      <c r="G228" s="324">
        <v>300</v>
      </c>
      <c r="H228" s="324" t="s">
        <v>73</v>
      </c>
      <c r="I228" s="343">
        <f t="shared" si="20"/>
        <v>300</v>
      </c>
      <c r="J228" s="324">
        <v>300</v>
      </c>
      <c r="K228" s="344">
        <f t="shared" si="21"/>
        <v>300</v>
      </c>
      <c r="L228" s="178">
        <f t="shared" si="22"/>
        <v>30000000</v>
      </c>
      <c r="M228" s="325">
        <f t="shared" si="23"/>
        <v>8.4676395043608351E-3</v>
      </c>
      <c r="N228" s="39" t="s">
        <v>73</v>
      </c>
    </row>
    <row r="229" spans="2:14">
      <c r="B229" s="368"/>
      <c r="C229" s="365"/>
      <c r="D229" s="324" t="s">
        <v>117</v>
      </c>
      <c r="E229" s="324">
        <v>182</v>
      </c>
      <c r="F229" s="324">
        <v>1</v>
      </c>
      <c r="G229" s="324">
        <v>101</v>
      </c>
      <c r="H229" s="324" t="s">
        <v>73</v>
      </c>
      <c r="I229" s="343">
        <f t="shared" si="20"/>
        <v>101</v>
      </c>
      <c r="J229" s="324">
        <v>101</v>
      </c>
      <c r="K229" s="344">
        <f t="shared" si="21"/>
        <v>101</v>
      </c>
      <c r="L229" s="178">
        <f t="shared" si="22"/>
        <v>10100000</v>
      </c>
      <c r="M229" s="325">
        <f t="shared" si="23"/>
        <v>2.8507719664681475E-3</v>
      </c>
      <c r="N229" s="39" t="s">
        <v>73</v>
      </c>
    </row>
    <row r="230" spans="2:14">
      <c r="B230" s="324">
        <v>14</v>
      </c>
      <c r="C230" s="307" t="s">
        <v>187</v>
      </c>
      <c r="D230" s="324" t="s">
        <v>72</v>
      </c>
      <c r="E230" s="324" t="s">
        <v>72</v>
      </c>
      <c r="F230" s="324">
        <f>G224+1</f>
        <v>1831</v>
      </c>
      <c r="G230" s="324">
        <f>J230+F230-1</f>
        <v>3450</v>
      </c>
      <c r="H230" s="324" t="s">
        <v>183</v>
      </c>
      <c r="I230" s="343">
        <f t="shared" si="20"/>
        <v>0</v>
      </c>
      <c r="J230" s="346">
        <v>1620</v>
      </c>
      <c r="K230" s="344">
        <f t="shared" si="21"/>
        <v>0</v>
      </c>
      <c r="L230" s="178">
        <f t="shared" si="22"/>
        <v>162000000</v>
      </c>
      <c r="M230" s="325">
        <f t="shared" si="23"/>
        <v>4.5725253323548508E-2</v>
      </c>
      <c r="N230" s="39" t="s">
        <v>183</v>
      </c>
    </row>
    <row r="231" spans="2:14">
      <c r="B231" s="366">
        <v>15</v>
      </c>
      <c r="C231" s="363" t="s">
        <v>188</v>
      </c>
      <c r="D231" s="324" t="s">
        <v>72</v>
      </c>
      <c r="E231" s="324" t="s">
        <v>72</v>
      </c>
      <c r="F231" s="324">
        <f t="shared" ref="F231:F246" si="24">G230+1</f>
        <v>3451</v>
      </c>
      <c r="G231" s="324">
        <f t="shared" ref="G231:G246" si="25">F231+J231-1</f>
        <v>3740</v>
      </c>
      <c r="H231" s="324" t="s">
        <v>183</v>
      </c>
      <c r="I231" s="343">
        <f t="shared" si="20"/>
        <v>0</v>
      </c>
      <c r="J231" s="345">
        <v>290</v>
      </c>
      <c r="K231" s="344">
        <f t="shared" si="21"/>
        <v>0</v>
      </c>
      <c r="L231" s="178">
        <f t="shared" si="22"/>
        <v>29000000</v>
      </c>
      <c r="M231" s="325">
        <f t="shared" si="23"/>
        <v>8.1853848542154731E-3</v>
      </c>
      <c r="N231" s="39" t="s">
        <v>183</v>
      </c>
    </row>
    <row r="232" spans="2:14">
      <c r="B232" s="368"/>
      <c r="C232" s="365"/>
      <c r="D232" s="324" t="s">
        <v>72</v>
      </c>
      <c r="E232" s="324" t="s">
        <v>72</v>
      </c>
      <c r="F232" s="324">
        <f t="shared" si="24"/>
        <v>3741</v>
      </c>
      <c r="G232" s="324">
        <f t="shared" si="25"/>
        <v>4450</v>
      </c>
      <c r="H232" s="324" t="s">
        <v>183</v>
      </c>
      <c r="I232" s="343">
        <f t="shared" si="20"/>
        <v>0</v>
      </c>
      <c r="J232" s="345">
        <v>710</v>
      </c>
      <c r="K232" s="344">
        <f t="shared" si="21"/>
        <v>0</v>
      </c>
      <c r="L232" s="178">
        <f t="shared" si="22"/>
        <v>71000000</v>
      </c>
      <c r="M232" s="325">
        <f t="shared" si="23"/>
        <v>2.004008016032064E-2</v>
      </c>
      <c r="N232" s="39" t="s">
        <v>183</v>
      </c>
    </row>
    <row r="233" spans="2:14">
      <c r="B233" s="366">
        <v>16</v>
      </c>
      <c r="C233" s="363" t="s">
        <v>189</v>
      </c>
      <c r="D233" s="324" t="s">
        <v>72</v>
      </c>
      <c r="E233" s="324" t="s">
        <v>72</v>
      </c>
      <c r="F233" s="324">
        <f t="shared" si="24"/>
        <v>4451</v>
      </c>
      <c r="G233" s="324">
        <f t="shared" si="25"/>
        <v>4950</v>
      </c>
      <c r="H233" s="324" t="s">
        <v>183</v>
      </c>
      <c r="I233" s="343">
        <f t="shared" si="20"/>
        <v>0</v>
      </c>
      <c r="J233" s="345">
        <v>500</v>
      </c>
      <c r="K233" s="344">
        <f t="shared" si="21"/>
        <v>0</v>
      </c>
      <c r="L233" s="178">
        <f t="shared" si="22"/>
        <v>50000000</v>
      </c>
      <c r="M233" s="325">
        <f t="shared" si="23"/>
        <v>1.4112732507268057E-2</v>
      </c>
      <c r="N233" s="39" t="s">
        <v>183</v>
      </c>
    </row>
    <row r="234" spans="2:14">
      <c r="B234" s="368"/>
      <c r="C234" s="365"/>
      <c r="D234" s="324" t="s">
        <v>72</v>
      </c>
      <c r="E234" s="324" t="s">
        <v>72</v>
      </c>
      <c r="F234" s="324">
        <f t="shared" si="24"/>
        <v>4951</v>
      </c>
      <c r="G234" s="324">
        <f t="shared" si="25"/>
        <v>5450</v>
      </c>
      <c r="H234" s="324" t="s">
        <v>183</v>
      </c>
      <c r="I234" s="343">
        <f t="shared" si="20"/>
        <v>0</v>
      </c>
      <c r="J234" s="345">
        <v>500</v>
      </c>
      <c r="K234" s="344">
        <f t="shared" si="21"/>
        <v>0</v>
      </c>
      <c r="L234" s="178">
        <f t="shared" si="22"/>
        <v>50000000</v>
      </c>
      <c r="M234" s="325">
        <f t="shared" si="23"/>
        <v>1.4112732507268057E-2</v>
      </c>
      <c r="N234" s="39" t="s">
        <v>183</v>
      </c>
    </row>
    <row r="235" spans="2:14">
      <c r="B235" s="324">
        <v>17</v>
      </c>
      <c r="C235" s="307" t="s">
        <v>190</v>
      </c>
      <c r="D235" s="324" t="s">
        <v>72</v>
      </c>
      <c r="E235" s="324" t="s">
        <v>72</v>
      </c>
      <c r="F235" s="324">
        <f t="shared" si="24"/>
        <v>5451</v>
      </c>
      <c r="G235" s="324">
        <f t="shared" si="25"/>
        <v>6200</v>
      </c>
      <c r="H235" s="324" t="s">
        <v>183</v>
      </c>
      <c r="I235" s="343">
        <f t="shared" si="20"/>
        <v>0</v>
      </c>
      <c r="J235" s="345">
        <v>750</v>
      </c>
      <c r="K235" s="344">
        <f t="shared" si="21"/>
        <v>0</v>
      </c>
      <c r="L235" s="178">
        <f t="shared" si="22"/>
        <v>75000000</v>
      </c>
      <c r="M235" s="325">
        <f t="shared" si="23"/>
        <v>2.1169098760902085E-2</v>
      </c>
      <c r="N235" s="39" t="s">
        <v>183</v>
      </c>
    </row>
    <row r="236" spans="2:14">
      <c r="B236" s="324">
        <v>18</v>
      </c>
      <c r="C236" s="307" t="s">
        <v>191</v>
      </c>
      <c r="D236" s="324" t="s">
        <v>72</v>
      </c>
      <c r="E236" s="324" t="s">
        <v>72</v>
      </c>
      <c r="F236" s="324">
        <f t="shared" si="24"/>
        <v>6201</v>
      </c>
      <c r="G236" s="324">
        <f t="shared" si="25"/>
        <v>6950</v>
      </c>
      <c r="H236" s="324" t="s">
        <v>183</v>
      </c>
      <c r="I236" s="343">
        <f t="shared" si="20"/>
        <v>0</v>
      </c>
      <c r="J236" s="346">
        <v>750</v>
      </c>
      <c r="K236" s="344">
        <f t="shared" si="21"/>
        <v>0</v>
      </c>
      <c r="L236" s="178">
        <f t="shared" si="22"/>
        <v>75000000</v>
      </c>
      <c r="M236" s="325">
        <f t="shared" si="23"/>
        <v>2.1169098760902085E-2</v>
      </c>
      <c r="N236" s="39" t="s">
        <v>183</v>
      </c>
    </row>
    <row r="237" spans="2:14">
      <c r="B237" s="324">
        <v>19</v>
      </c>
      <c r="C237" s="307" t="s">
        <v>192</v>
      </c>
      <c r="D237" s="324" t="s">
        <v>72</v>
      </c>
      <c r="E237" s="324" t="s">
        <v>72</v>
      </c>
      <c r="F237" s="324">
        <f t="shared" si="24"/>
        <v>6951</v>
      </c>
      <c r="G237" s="324">
        <f t="shared" si="25"/>
        <v>8450</v>
      </c>
      <c r="H237" s="324" t="s">
        <v>183</v>
      </c>
      <c r="I237" s="343">
        <f t="shared" si="20"/>
        <v>0</v>
      </c>
      <c r="J237" s="345">
        <v>1500</v>
      </c>
      <c r="K237" s="344">
        <f t="shared" si="21"/>
        <v>0</v>
      </c>
      <c r="L237" s="178">
        <f t="shared" si="22"/>
        <v>150000000</v>
      </c>
      <c r="M237" s="325">
        <f t="shared" si="23"/>
        <v>4.233819752180417E-2</v>
      </c>
      <c r="N237" s="39" t="s">
        <v>183</v>
      </c>
    </row>
    <row r="238" spans="2:14">
      <c r="B238" s="324">
        <v>20</v>
      </c>
      <c r="C238" s="307" t="s">
        <v>193</v>
      </c>
      <c r="D238" s="324" t="s">
        <v>72</v>
      </c>
      <c r="E238" s="324" t="s">
        <v>72</v>
      </c>
      <c r="F238" s="324">
        <f t="shared" si="24"/>
        <v>8451</v>
      </c>
      <c r="G238" s="324">
        <f t="shared" si="25"/>
        <v>10000</v>
      </c>
      <c r="H238" s="324" t="s">
        <v>183</v>
      </c>
      <c r="I238" s="343">
        <f t="shared" si="20"/>
        <v>0</v>
      </c>
      <c r="J238" s="347">
        <f>2000-450</f>
        <v>1550</v>
      </c>
      <c r="K238" s="348">
        <f t="shared" si="21"/>
        <v>0</v>
      </c>
      <c r="L238" s="198">
        <f t="shared" si="22"/>
        <v>155000000</v>
      </c>
      <c r="M238" s="349">
        <f t="shared" si="23"/>
        <v>4.3749470772530975E-2</v>
      </c>
      <c r="N238" s="39" t="s">
        <v>183</v>
      </c>
    </row>
    <row r="239" spans="2:14">
      <c r="B239" s="324">
        <v>21</v>
      </c>
      <c r="C239" s="307" t="s">
        <v>193</v>
      </c>
      <c r="D239" s="324" t="s">
        <v>71</v>
      </c>
      <c r="E239" s="324" t="s">
        <v>71</v>
      </c>
      <c r="F239" s="324">
        <f t="shared" si="24"/>
        <v>10001</v>
      </c>
      <c r="G239" s="324">
        <f t="shared" si="25"/>
        <v>10450</v>
      </c>
      <c r="H239" s="324" t="s">
        <v>183</v>
      </c>
      <c r="I239" s="343">
        <f t="shared" si="20"/>
        <v>0</v>
      </c>
      <c r="J239" s="347">
        <v>450</v>
      </c>
      <c r="K239" s="348">
        <f t="shared" si="21"/>
        <v>0</v>
      </c>
      <c r="L239" s="198">
        <f t="shared" si="22"/>
        <v>45000000</v>
      </c>
      <c r="M239" s="349">
        <f t="shared" si="23"/>
        <v>1.2701459256541252E-2</v>
      </c>
      <c r="N239" s="39" t="s">
        <v>183</v>
      </c>
    </row>
    <row r="240" spans="2:14">
      <c r="B240" s="324">
        <v>22</v>
      </c>
      <c r="C240" s="307" t="s">
        <v>193</v>
      </c>
      <c r="D240" s="324" t="s">
        <v>71</v>
      </c>
      <c r="E240" s="324" t="s">
        <v>71</v>
      </c>
      <c r="F240" s="324">
        <f t="shared" si="24"/>
        <v>10451</v>
      </c>
      <c r="G240" s="324">
        <f t="shared" si="25"/>
        <v>10718</v>
      </c>
      <c r="H240" s="324" t="s">
        <v>183</v>
      </c>
      <c r="I240" s="343"/>
      <c r="J240" s="347">
        <v>268</v>
      </c>
      <c r="K240" s="348"/>
      <c r="L240" s="198">
        <f t="shared" si="22"/>
        <v>26800000</v>
      </c>
      <c r="M240" s="349">
        <f t="shared" si="23"/>
        <v>7.5644246238956783E-3</v>
      </c>
      <c r="N240" s="39" t="s">
        <v>183</v>
      </c>
    </row>
    <row r="241" spans="2:14">
      <c r="B241" s="324">
        <v>23</v>
      </c>
      <c r="C241" s="307" t="s">
        <v>192</v>
      </c>
      <c r="D241" s="324" t="s">
        <v>71</v>
      </c>
      <c r="E241" s="324" t="s">
        <v>71</v>
      </c>
      <c r="F241" s="324">
        <f t="shared" si="24"/>
        <v>10719</v>
      </c>
      <c r="G241" s="324">
        <f t="shared" si="25"/>
        <v>10788</v>
      </c>
      <c r="H241" s="324" t="s">
        <v>183</v>
      </c>
      <c r="I241" s="343">
        <f t="shared" ref="I241:I246" si="26">IF(H241="Ordinaria",+J241,0)</f>
        <v>0</v>
      </c>
      <c r="J241" s="347">
        <v>70</v>
      </c>
      <c r="K241" s="348">
        <f t="shared" ref="K241:K246" si="27">+I241</f>
        <v>0</v>
      </c>
      <c r="L241" s="198">
        <f t="shared" si="22"/>
        <v>7000000</v>
      </c>
      <c r="M241" s="349">
        <f t="shared" si="23"/>
        <v>1.9757825510175282E-3</v>
      </c>
      <c r="N241" s="39" t="s">
        <v>183</v>
      </c>
    </row>
    <row r="242" spans="2:14">
      <c r="B242" s="324">
        <v>24</v>
      </c>
      <c r="C242" s="307" t="s">
        <v>187</v>
      </c>
      <c r="D242" s="324" t="s">
        <v>71</v>
      </c>
      <c r="E242" s="324" t="s">
        <v>71</v>
      </c>
      <c r="F242" s="324">
        <f t="shared" si="24"/>
        <v>10789</v>
      </c>
      <c r="G242" s="324">
        <f t="shared" si="25"/>
        <v>10996</v>
      </c>
      <c r="H242" s="324" t="s">
        <v>183</v>
      </c>
      <c r="I242" s="343">
        <f t="shared" si="26"/>
        <v>0</v>
      </c>
      <c r="J242" s="347">
        <v>208</v>
      </c>
      <c r="K242" s="348">
        <f t="shared" si="27"/>
        <v>0</v>
      </c>
      <c r="L242" s="198">
        <f t="shared" si="22"/>
        <v>20800000</v>
      </c>
      <c r="M242" s="349">
        <f t="shared" si="23"/>
        <v>5.8708967230235122E-3</v>
      </c>
      <c r="N242" s="39" t="s">
        <v>183</v>
      </c>
    </row>
    <row r="243" spans="2:14">
      <c r="B243" s="324">
        <v>25</v>
      </c>
      <c r="C243" s="307" t="s">
        <v>191</v>
      </c>
      <c r="D243" s="324" t="s">
        <v>71</v>
      </c>
      <c r="E243" s="324" t="s">
        <v>71</v>
      </c>
      <c r="F243" s="324">
        <f t="shared" si="24"/>
        <v>10997</v>
      </c>
      <c r="G243" s="324">
        <f t="shared" si="25"/>
        <v>11748</v>
      </c>
      <c r="H243" s="324" t="s">
        <v>183</v>
      </c>
      <c r="I243" s="343">
        <f t="shared" si="26"/>
        <v>0</v>
      </c>
      <c r="J243" s="347">
        <v>752</v>
      </c>
      <c r="K243" s="348">
        <f t="shared" si="27"/>
        <v>0</v>
      </c>
      <c r="L243" s="198">
        <f t="shared" si="22"/>
        <v>75200000</v>
      </c>
      <c r="M243" s="349">
        <f t="shared" si="23"/>
        <v>2.1225549690931159E-2</v>
      </c>
      <c r="N243" s="39" t="s">
        <v>183</v>
      </c>
    </row>
    <row r="244" spans="2:14">
      <c r="B244" s="324">
        <v>26</v>
      </c>
      <c r="C244" s="307" t="s">
        <v>190</v>
      </c>
      <c r="D244" s="324" t="s">
        <v>71</v>
      </c>
      <c r="E244" s="324" t="s">
        <v>71</v>
      </c>
      <c r="F244" s="324">
        <f t="shared" si="24"/>
        <v>11749</v>
      </c>
      <c r="G244" s="324">
        <f t="shared" si="25"/>
        <v>12500</v>
      </c>
      <c r="H244" s="324" t="s">
        <v>183</v>
      </c>
      <c r="I244" s="343">
        <f t="shared" si="26"/>
        <v>0</v>
      </c>
      <c r="J244" s="347">
        <v>752</v>
      </c>
      <c r="K244" s="348">
        <f t="shared" si="27"/>
        <v>0</v>
      </c>
      <c r="L244" s="198">
        <f t="shared" si="22"/>
        <v>75200000</v>
      </c>
      <c r="M244" s="349">
        <f t="shared" si="23"/>
        <v>2.1225549690931159E-2</v>
      </c>
      <c r="N244" s="39" t="s">
        <v>183</v>
      </c>
    </row>
    <row r="245" spans="2:14">
      <c r="B245" s="324">
        <v>27</v>
      </c>
      <c r="C245" s="307" t="s">
        <v>191</v>
      </c>
      <c r="D245" s="324" t="s">
        <v>71</v>
      </c>
      <c r="E245" s="324" t="s">
        <v>71</v>
      </c>
      <c r="F245" s="324">
        <f t="shared" si="24"/>
        <v>12501</v>
      </c>
      <c r="G245" s="324">
        <f t="shared" si="25"/>
        <v>12528</v>
      </c>
      <c r="H245" s="324" t="s">
        <v>183</v>
      </c>
      <c r="I245" s="343">
        <f t="shared" si="26"/>
        <v>0</v>
      </c>
      <c r="J245" s="347">
        <v>28</v>
      </c>
      <c r="K245" s="348">
        <f t="shared" si="27"/>
        <v>0</v>
      </c>
      <c r="L245" s="198">
        <f t="shared" si="22"/>
        <v>2800000</v>
      </c>
      <c r="M245" s="325">
        <f t="shared" si="23"/>
        <v>7.9031302040701121E-4</v>
      </c>
      <c r="N245" s="39" t="s">
        <v>183</v>
      </c>
    </row>
    <row r="246" spans="2:14" ht="15.75" thickBot="1">
      <c r="B246" s="324">
        <v>28</v>
      </c>
      <c r="C246" s="307" t="s">
        <v>190</v>
      </c>
      <c r="D246" s="324" t="s">
        <v>71</v>
      </c>
      <c r="E246" s="324" t="s">
        <v>71</v>
      </c>
      <c r="F246" s="324">
        <f t="shared" si="24"/>
        <v>12529</v>
      </c>
      <c r="G246" s="324">
        <f t="shared" si="25"/>
        <v>12556</v>
      </c>
      <c r="H246" s="324" t="s">
        <v>183</v>
      </c>
      <c r="I246" s="343">
        <f t="shared" si="26"/>
        <v>0</v>
      </c>
      <c r="J246" s="347">
        <v>28</v>
      </c>
      <c r="K246" s="348">
        <f t="shared" si="27"/>
        <v>0</v>
      </c>
      <c r="L246" s="305">
        <f t="shared" si="22"/>
        <v>2800000</v>
      </c>
      <c r="M246" s="325">
        <f t="shared" si="23"/>
        <v>7.9031302040701121E-4</v>
      </c>
      <c r="N246" s="39" t="s">
        <v>183</v>
      </c>
    </row>
    <row r="247" spans="2:14" ht="15.75" thickBot="1">
      <c r="B247" s="375" t="s">
        <v>194</v>
      </c>
      <c r="C247" s="376"/>
      <c r="D247" s="376"/>
      <c r="E247" s="376"/>
      <c r="F247" s="376"/>
      <c r="G247" s="376"/>
      <c r="H247" s="376"/>
      <c r="I247" s="377"/>
      <c r="J247" s="199">
        <f>SUM(J63:J246)</f>
        <v>35429</v>
      </c>
      <c r="K247" s="199">
        <f>SUM(K63:K246)</f>
        <v>22873</v>
      </c>
      <c r="L247" s="200">
        <f>SUM(L63:L246)</f>
        <v>3542900000</v>
      </c>
      <c r="M247" s="350">
        <f>SUM(M63:M246)</f>
        <v>0.99999999999999967</v>
      </c>
      <c r="N247" s="39"/>
    </row>
    <row r="248" spans="2:14">
      <c r="B248" s="204"/>
      <c r="C248" s="351"/>
      <c r="D248" s="351"/>
      <c r="E248" s="204"/>
      <c r="F248" s="204"/>
      <c r="G248" s="204"/>
      <c r="H248" s="204"/>
      <c r="I248" s="204"/>
      <c r="J248" s="205"/>
      <c r="K248" s="205"/>
      <c r="L248" s="205"/>
      <c r="M248" s="206"/>
      <c r="N248" s="39"/>
    </row>
    <row r="249" spans="2:14">
      <c r="B249" s="207"/>
      <c r="C249" s="352" t="s">
        <v>195</v>
      </c>
      <c r="D249" s="352" t="s">
        <v>196</v>
      </c>
      <c r="E249" s="352" t="s">
        <v>197</v>
      </c>
      <c r="F249" s="207"/>
      <c r="G249" s="207"/>
      <c r="H249" s="207"/>
      <c r="I249" s="207"/>
      <c r="J249" s="208"/>
      <c r="K249" s="208"/>
      <c r="L249" s="208"/>
      <c r="M249" s="209"/>
      <c r="N249" s="39"/>
    </row>
    <row r="250" spans="2:14">
      <c r="B250" s="207"/>
      <c r="C250" s="210" t="s">
        <v>198</v>
      </c>
      <c r="D250" s="211">
        <f>+K247</f>
        <v>22873</v>
      </c>
      <c r="E250" s="215">
        <f>SUMIF(N$60:N$271,"Ordinaria",M$60:M$271)</f>
        <v>0.64560106127748418</v>
      </c>
      <c r="F250" s="207"/>
      <c r="G250" s="207"/>
      <c r="H250" s="207"/>
      <c r="I250" s="207"/>
      <c r="J250" s="208"/>
      <c r="K250" s="208"/>
      <c r="L250" s="208"/>
      <c r="M250" s="209"/>
      <c r="N250" s="39"/>
    </row>
    <row r="251" spans="2:14">
      <c r="B251" s="207"/>
      <c r="C251" s="210" t="s">
        <v>199</v>
      </c>
      <c r="D251" s="212">
        <f>+J247-D250</f>
        <v>12556</v>
      </c>
      <c r="E251" s="215">
        <f>SUMIF(N$60:N$271,"Preferidas",M$60:M$271)</f>
        <v>0.35439893872251543</v>
      </c>
      <c r="F251" s="207"/>
      <c r="G251" s="207"/>
      <c r="H251" s="207"/>
      <c r="I251" s="207"/>
      <c r="J251" s="208"/>
      <c r="K251" s="208"/>
      <c r="L251" s="208"/>
      <c r="M251" s="209"/>
      <c r="N251" s="39"/>
    </row>
    <row r="252" spans="2:14">
      <c r="B252" s="207"/>
      <c r="C252" s="213" t="s">
        <v>200</v>
      </c>
      <c r="D252" s="214">
        <f>SUM(D250:D251)</f>
        <v>35429</v>
      </c>
      <c r="E252" s="216">
        <f>SUM(E250:E251)</f>
        <v>0.99999999999999956</v>
      </c>
      <c r="F252" s="207"/>
      <c r="G252" s="207"/>
      <c r="H252" s="207"/>
      <c r="I252" s="207"/>
      <c r="J252" s="208"/>
      <c r="K252" s="208"/>
      <c r="L252" s="208"/>
      <c r="M252" s="209"/>
      <c r="N252" s="39"/>
    </row>
    <row r="253" spans="2:14">
      <c r="I253" s="337"/>
      <c r="J253" s="327"/>
      <c r="N253" s="39"/>
    </row>
    <row r="254" spans="2:14" ht="6.6" customHeight="1">
      <c r="I254" s="337"/>
      <c r="J254" s="327"/>
      <c r="N254" s="39"/>
    </row>
    <row r="255" spans="2:14">
      <c r="B255" s="313" t="s">
        <v>201</v>
      </c>
      <c r="C255" s="313" t="s">
        <v>202</v>
      </c>
      <c r="D255" s="313"/>
      <c r="E255" s="313"/>
      <c r="F255" s="313"/>
      <c r="G255" s="313"/>
      <c r="H255" s="313"/>
      <c r="I255" s="334"/>
      <c r="J255" s="332"/>
      <c r="N255" s="39"/>
    </row>
    <row r="256" spans="2:14" ht="7.35" customHeight="1">
      <c r="I256" s="337"/>
      <c r="J256" s="327"/>
      <c r="N256" s="39"/>
    </row>
    <row r="257" spans="2:14">
      <c r="B257" s="374" t="s">
        <v>203</v>
      </c>
      <c r="C257" s="374"/>
      <c r="D257" s="318" t="s">
        <v>204</v>
      </c>
      <c r="E257" s="318"/>
      <c r="F257" s="318"/>
      <c r="G257" s="318"/>
      <c r="H257" s="318"/>
      <c r="I257" s="339"/>
      <c r="J257" s="327"/>
      <c r="N257" s="39"/>
    </row>
    <row r="258" spans="2:14">
      <c r="B258" s="374" t="s">
        <v>205</v>
      </c>
      <c r="C258" s="374"/>
      <c r="D258" s="318" t="s">
        <v>206</v>
      </c>
      <c r="E258" s="318"/>
      <c r="F258" s="318"/>
      <c r="G258" s="318"/>
      <c r="H258" s="318"/>
      <c r="I258" s="339"/>
      <c r="J258" s="327"/>
      <c r="N258" s="39"/>
    </row>
    <row r="259" spans="2:14">
      <c r="B259" s="374" t="s">
        <v>8</v>
      </c>
      <c r="C259" s="374"/>
      <c r="D259" s="253" t="s">
        <v>207</v>
      </c>
      <c r="E259" s="318"/>
      <c r="F259" s="318"/>
      <c r="G259" s="318"/>
      <c r="H259" s="318"/>
      <c r="I259" s="339"/>
      <c r="J259" s="327"/>
      <c r="N259" s="39"/>
    </row>
    <row r="260" spans="2:14">
      <c r="B260" s="374" t="s">
        <v>208</v>
      </c>
      <c r="C260" s="374"/>
      <c r="D260" s="318" t="s">
        <v>209</v>
      </c>
      <c r="E260" s="318"/>
      <c r="F260" s="318"/>
      <c r="G260" s="318"/>
      <c r="H260" s="318"/>
      <c r="I260" s="339"/>
      <c r="J260" s="327"/>
      <c r="N260" s="39"/>
    </row>
    <row r="261" spans="2:14">
      <c r="B261" s="374" t="s">
        <v>13</v>
      </c>
      <c r="C261" s="374"/>
      <c r="D261" s="318" t="s">
        <v>210</v>
      </c>
      <c r="E261" s="318"/>
      <c r="F261" s="318"/>
      <c r="G261" s="318"/>
      <c r="H261" s="318"/>
      <c r="I261" s="339"/>
      <c r="J261" s="327"/>
      <c r="N261" s="39"/>
    </row>
    <row r="262" spans="2:14">
      <c r="I262" s="337"/>
      <c r="J262" s="327"/>
      <c r="N262" s="39"/>
    </row>
    <row r="263" spans="2:14">
      <c r="B263" s="313" t="s">
        <v>211</v>
      </c>
      <c r="C263" s="313" t="s">
        <v>212</v>
      </c>
      <c r="D263" s="313"/>
      <c r="E263" s="313"/>
      <c r="F263" s="313"/>
      <c r="G263" s="313"/>
      <c r="H263" s="313"/>
      <c r="I263" s="334"/>
      <c r="J263" s="332"/>
      <c r="N263" s="39"/>
    </row>
    <row r="264" spans="2:14" ht="9" customHeight="1">
      <c r="I264" s="337"/>
      <c r="J264" s="327"/>
      <c r="N264" s="39"/>
    </row>
    <row r="265" spans="2:14">
      <c r="B265" s="379" t="s">
        <v>213</v>
      </c>
      <c r="C265" s="379"/>
      <c r="D265" s="379" t="s">
        <v>214</v>
      </c>
      <c r="E265" s="379"/>
      <c r="F265" s="379"/>
      <c r="G265" s="379"/>
      <c r="H265" s="379"/>
      <c r="I265" s="337"/>
      <c r="J265" s="327"/>
      <c r="N265" s="39"/>
    </row>
    <row r="266" spans="2:14">
      <c r="B266" s="373" t="s">
        <v>31</v>
      </c>
      <c r="C266" s="373"/>
      <c r="D266" s="373" t="s">
        <v>44</v>
      </c>
      <c r="E266" s="373"/>
      <c r="F266" s="373"/>
      <c r="G266" s="373"/>
      <c r="H266" s="373"/>
      <c r="I266" s="337"/>
      <c r="J266" s="327"/>
      <c r="N266" s="39"/>
    </row>
    <row r="267" spans="2:14">
      <c r="B267" s="373" t="s">
        <v>33</v>
      </c>
      <c r="C267" s="373"/>
      <c r="D267" s="373" t="s">
        <v>45</v>
      </c>
      <c r="E267" s="373"/>
      <c r="F267" s="373"/>
      <c r="G267" s="373"/>
      <c r="H267" s="373"/>
      <c r="I267" s="337"/>
      <c r="J267" s="327"/>
      <c r="N267" s="39"/>
    </row>
    <row r="268" spans="2:14">
      <c r="B268" s="373" t="s">
        <v>35</v>
      </c>
      <c r="C268" s="373"/>
      <c r="D268" s="373" t="s">
        <v>215</v>
      </c>
      <c r="E268" s="373"/>
      <c r="F268" s="373"/>
      <c r="G268" s="373"/>
      <c r="H268" s="373"/>
      <c r="I268" s="337"/>
      <c r="J268" s="327"/>
      <c r="N268" s="39"/>
    </row>
    <row r="269" spans="2:14">
      <c r="B269" s="373" t="s">
        <v>40</v>
      </c>
      <c r="C269" s="373"/>
      <c r="D269" s="373" t="s">
        <v>39</v>
      </c>
      <c r="E269" s="373"/>
      <c r="F269" s="373"/>
      <c r="G269" s="373"/>
      <c r="H269" s="373"/>
      <c r="I269" s="337"/>
      <c r="J269" s="327"/>
      <c r="N269" s="39"/>
    </row>
    <row r="270" spans="2:14">
      <c r="B270" s="372" t="s">
        <v>47</v>
      </c>
      <c r="C270" s="372"/>
      <c r="D270" s="326" t="s">
        <v>216</v>
      </c>
      <c r="E270" s="326"/>
      <c r="F270" s="326"/>
      <c r="G270" s="326"/>
      <c r="H270" s="326"/>
      <c r="I270" s="337"/>
      <c r="J270" s="327"/>
      <c r="N270" s="39"/>
    </row>
    <row r="271" spans="2:14">
      <c r="I271" s="337"/>
      <c r="J271" s="327"/>
      <c r="N271" s="39"/>
    </row>
  </sheetData>
  <mergeCells count="81">
    <mergeCell ref="B54:C54"/>
    <mergeCell ref="B55:C55"/>
    <mergeCell ref="B56:C56"/>
    <mergeCell ref="B44:C44"/>
    <mergeCell ref="D44:I44"/>
    <mergeCell ref="B45:C45"/>
    <mergeCell ref="B46:C46"/>
    <mergeCell ref="B49:J52"/>
    <mergeCell ref="B53:C53"/>
    <mergeCell ref="B43:C43"/>
    <mergeCell ref="D43:I43"/>
    <mergeCell ref="B34:C34"/>
    <mergeCell ref="D34:I34"/>
    <mergeCell ref="B35:C35"/>
    <mergeCell ref="D35:I35"/>
    <mergeCell ref="B36:C36"/>
    <mergeCell ref="B37:C37"/>
    <mergeCell ref="B39:C39"/>
    <mergeCell ref="D39:H39"/>
    <mergeCell ref="B40:C40"/>
    <mergeCell ref="D40:H40"/>
    <mergeCell ref="B42:C42"/>
    <mergeCell ref="B24:J27"/>
    <mergeCell ref="C28:I28"/>
    <mergeCell ref="B31:C31"/>
    <mergeCell ref="B32:D32"/>
    <mergeCell ref="B33:C33"/>
    <mergeCell ref="D33:I33"/>
    <mergeCell ref="B3:J3"/>
    <mergeCell ref="B4:J4"/>
    <mergeCell ref="B20:J20"/>
    <mergeCell ref="B21:J21"/>
    <mergeCell ref="B22:J22"/>
    <mergeCell ref="B23:J23"/>
    <mergeCell ref="D268:H268"/>
    <mergeCell ref="B269:C269"/>
    <mergeCell ref="D269:H269"/>
    <mergeCell ref="B265:C265"/>
    <mergeCell ref="D265:H265"/>
    <mergeCell ref="B266:C266"/>
    <mergeCell ref="D266:H266"/>
    <mergeCell ref="B267:C267"/>
    <mergeCell ref="D267:H267"/>
    <mergeCell ref="B135:B159"/>
    <mergeCell ref="B160:B165"/>
    <mergeCell ref="C160:C165"/>
    <mergeCell ref="B166:B173"/>
    <mergeCell ref="C166:C173"/>
    <mergeCell ref="B260:C260"/>
    <mergeCell ref="B270:C270"/>
    <mergeCell ref="B268:C268"/>
    <mergeCell ref="B63:B65"/>
    <mergeCell ref="C63:C65"/>
    <mergeCell ref="B66:B75"/>
    <mergeCell ref="C66:C75"/>
    <mergeCell ref="B261:C261"/>
    <mergeCell ref="B257:C257"/>
    <mergeCell ref="B258:C258"/>
    <mergeCell ref="B259:C259"/>
    <mergeCell ref="B247:I247"/>
    <mergeCell ref="B174:B191"/>
    <mergeCell ref="C192:C199"/>
    <mergeCell ref="B192:B199"/>
    <mergeCell ref="C200:C224"/>
    <mergeCell ref="B200:B224"/>
    <mergeCell ref="C174:C191"/>
    <mergeCell ref="B76:B78"/>
    <mergeCell ref="C76:C78"/>
    <mergeCell ref="B79:B83"/>
    <mergeCell ref="C79:C83"/>
    <mergeCell ref="C84:C128"/>
    <mergeCell ref="B84:B128"/>
    <mergeCell ref="C129:C134"/>
    <mergeCell ref="B129:B134"/>
    <mergeCell ref="C135:C159"/>
    <mergeCell ref="C225:C229"/>
    <mergeCell ref="B225:B229"/>
    <mergeCell ref="B231:B232"/>
    <mergeCell ref="C231:C232"/>
    <mergeCell ref="C233:C234"/>
    <mergeCell ref="B233:B23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4:I69"/>
  <sheetViews>
    <sheetView showGridLines="0" zoomScaleNormal="100" workbookViewId="0">
      <selection activeCell="F54" sqref="F54"/>
    </sheetView>
  </sheetViews>
  <sheetFormatPr defaultColWidth="10.7109375" defaultRowHeight="15"/>
  <cols>
    <col min="2" max="2" width="40.28515625" customWidth="1"/>
    <col min="3" max="3" width="14.7109375" style="28" customWidth="1"/>
    <col min="4" max="4" width="12.28515625" style="27" bestFit="1" customWidth="1"/>
    <col min="5" max="5" width="41.42578125" style="27" bestFit="1" customWidth="1"/>
    <col min="6" max="6" width="17.42578125" style="27" bestFit="1" customWidth="1"/>
    <col min="7" max="7" width="13.42578125" style="27" customWidth="1"/>
    <col min="8" max="8" width="15.28515625" bestFit="1" customWidth="1"/>
  </cols>
  <sheetData>
    <row r="4" spans="2:7">
      <c r="B4" s="391" t="s">
        <v>217</v>
      </c>
      <c r="C4" s="391"/>
      <c r="D4" s="391"/>
      <c r="E4" s="391"/>
      <c r="F4" s="391"/>
      <c r="G4" s="391"/>
    </row>
    <row r="5" spans="2:7">
      <c r="B5" s="391"/>
      <c r="C5" s="391"/>
      <c r="D5" s="391"/>
      <c r="E5" s="391"/>
      <c r="F5" s="391"/>
      <c r="G5" s="391"/>
    </row>
    <row r="6" spans="2:7">
      <c r="B6" s="391"/>
      <c r="C6" s="391"/>
      <c r="D6" s="391"/>
      <c r="E6" s="391"/>
      <c r="F6" s="391"/>
      <c r="G6" s="391"/>
    </row>
    <row r="7" spans="2:7" ht="15.75" thickBot="1"/>
    <row r="8" spans="2:7" ht="15" customHeight="1">
      <c r="B8" s="392" t="s">
        <v>218</v>
      </c>
      <c r="C8" s="394" t="s">
        <v>219</v>
      </c>
      <c r="D8" s="392" t="s">
        <v>220</v>
      </c>
      <c r="E8" s="392" t="s">
        <v>221</v>
      </c>
      <c r="F8" s="392" t="s">
        <v>222</v>
      </c>
      <c r="G8" s="392" t="s">
        <v>220</v>
      </c>
    </row>
    <row r="9" spans="2:7" ht="15.75" thickBot="1">
      <c r="B9" s="393"/>
      <c r="C9" s="395"/>
      <c r="D9" s="393"/>
      <c r="E9" s="393"/>
      <c r="F9" s="393"/>
      <c r="G9" s="393"/>
    </row>
    <row r="10" spans="2:7">
      <c r="B10" s="262" t="s">
        <v>223</v>
      </c>
      <c r="C10" s="263"/>
      <c r="D10" s="121"/>
      <c r="E10" s="264" t="s">
        <v>224</v>
      </c>
      <c r="F10" s="121"/>
      <c r="G10" s="121"/>
    </row>
    <row r="11" spans="2:7">
      <c r="B11" s="265" t="s">
        <v>225</v>
      </c>
      <c r="C11" s="122">
        <f>+SUM(C12:C14)</f>
        <v>348290195</v>
      </c>
      <c r="D11" s="122">
        <f>+SUM(D12:D14)</f>
        <v>666317467.10999775</v>
      </c>
      <c r="E11" s="266" t="s">
        <v>226</v>
      </c>
      <c r="F11" s="122">
        <f>+SUM(F12:F14)</f>
        <v>41803027.142000005</v>
      </c>
      <c r="G11" s="122">
        <f>+SUM(G12:G14)</f>
        <v>44562381.989999995</v>
      </c>
    </row>
    <row r="12" spans="2:7">
      <c r="B12" s="267" t="s">
        <v>227</v>
      </c>
      <c r="C12" s="123">
        <v>0</v>
      </c>
      <c r="D12" s="123">
        <v>0</v>
      </c>
      <c r="E12" s="268" t="s">
        <v>228</v>
      </c>
      <c r="F12" s="123">
        <f>+'Anexo 5i-5m'!C93</f>
        <v>20029477.142000001</v>
      </c>
      <c r="G12" s="123">
        <f>+'Anexo 5i-5m'!D93</f>
        <v>22985175.989999995</v>
      </c>
    </row>
    <row r="13" spans="2:7">
      <c r="B13" s="267" t="s">
        <v>229</v>
      </c>
      <c r="C13" s="123">
        <f>+'Anexo 5d-5h'!C23</f>
        <v>348290195</v>
      </c>
      <c r="D13" s="123">
        <f>+'Anexo 5d-5h'!D23</f>
        <v>666317467.10999775</v>
      </c>
      <c r="E13" s="268" t="s">
        <v>230</v>
      </c>
      <c r="F13" s="123">
        <f>+'Anexo 5i-5m'!C88</f>
        <v>19773550</v>
      </c>
      <c r="G13" s="123">
        <f>+'Anexo 5i-5m'!D88</f>
        <v>10315809</v>
      </c>
    </row>
    <row r="14" spans="2:7" ht="15" customHeight="1">
      <c r="B14" s="267"/>
      <c r="C14" s="123"/>
      <c r="D14" s="124"/>
      <c r="E14" s="268" t="s">
        <v>231</v>
      </c>
      <c r="F14" s="254">
        <f>+'Anexo 5n-5r'!C18</f>
        <v>2000000</v>
      </c>
      <c r="G14" s="254">
        <f>+'Anexo 5n-5r'!D18</f>
        <v>11261397</v>
      </c>
    </row>
    <row r="15" spans="2:7">
      <c r="B15" s="265" t="s">
        <v>232</v>
      </c>
      <c r="C15" s="122">
        <f>+SUM(C16:C17)</f>
        <v>1033364265</v>
      </c>
      <c r="D15" s="122">
        <f>+SUM(D16:D17)</f>
        <v>1246009893</v>
      </c>
      <c r="E15" s="127"/>
      <c r="F15" s="124"/>
      <c r="G15" s="124"/>
    </row>
    <row r="16" spans="2:7">
      <c r="B16" s="267" t="s">
        <v>233</v>
      </c>
      <c r="C16" s="123">
        <v>123658080</v>
      </c>
      <c r="D16" s="123">
        <v>104860000</v>
      </c>
      <c r="E16" s="266" t="s">
        <v>234</v>
      </c>
      <c r="F16" s="122">
        <f>+SUM(F17:F18)</f>
        <v>201726027</v>
      </c>
      <c r="G16" s="122">
        <f>+SUM(G17:G18)</f>
        <v>149953933</v>
      </c>
    </row>
    <row r="17" spans="2:7">
      <c r="B17" s="267" t="s">
        <v>235</v>
      </c>
      <c r="C17" s="123">
        <v>909706185</v>
      </c>
      <c r="D17" s="123">
        <v>1141149893</v>
      </c>
      <c r="E17" s="268" t="s">
        <v>236</v>
      </c>
      <c r="F17" s="123">
        <f>+'Anexo 5i-5m'!C47</f>
        <v>200000000</v>
      </c>
      <c r="G17" s="123">
        <f>+'Anexo 5i-5m'!D47</f>
        <v>123076920</v>
      </c>
    </row>
    <row r="18" spans="2:7">
      <c r="B18" s="127"/>
      <c r="C18" s="124"/>
      <c r="D18" s="124"/>
      <c r="E18" s="268" t="s">
        <v>237</v>
      </c>
      <c r="F18" s="123">
        <f>+'Anexo 5i-5m'!C52</f>
        <v>1726027</v>
      </c>
      <c r="G18" s="123">
        <f>+'Anexo 5i-5m'!D52</f>
        <v>26877013</v>
      </c>
    </row>
    <row r="19" spans="2:7">
      <c r="B19" s="265" t="s">
        <v>238</v>
      </c>
      <c r="C19" s="122">
        <f>+SUM(C20:C22)</f>
        <v>567884790.9749999</v>
      </c>
      <c r="D19" s="122">
        <f>+SUM(D20:D22)</f>
        <v>212799189</v>
      </c>
      <c r="E19" s="127"/>
      <c r="F19" s="124"/>
      <c r="G19" s="124"/>
    </row>
    <row r="20" spans="2:7">
      <c r="B20" s="267" t="s">
        <v>239</v>
      </c>
      <c r="C20" s="123">
        <f>+'Anexo 5d-5h'!C103</f>
        <v>501223718.97499996</v>
      </c>
      <c r="D20" s="123">
        <v>137632439</v>
      </c>
      <c r="E20" s="266" t="s">
        <v>240</v>
      </c>
      <c r="F20" s="122">
        <f>+SUM(F21:F24)</f>
        <v>5043956</v>
      </c>
      <c r="G20" s="122">
        <f>+SUM(G21:G24)</f>
        <v>5043956</v>
      </c>
    </row>
    <row r="21" spans="2:7">
      <c r="B21" s="267" t="s">
        <v>241</v>
      </c>
      <c r="C21" s="123">
        <f>+'Anexo 5d-5h'!C51</f>
        <v>0</v>
      </c>
      <c r="D21" s="123">
        <f>+'Anexo 5d-5h'!D51</f>
        <v>0</v>
      </c>
      <c r="E21" s="268" t="s">
        <v>242</v>
      </c>
      <c r="F21" s="123">
        <v>0</v>
      </c>
      <c r="G21" s="123">
        <v>0</v>
      </c>
    </row>
    <row r="22" spans="2:7">
      <c r="B22" s="267" t="s">
        <v>243</v>
      </c>
      <c r="C22" s="123">
        <f>+'Anexo 5d-5h'!C58</f>
        <v>66661072</v>
      </c>
      <c r="D22" s="123">
        <f>+'Anexo 5d-5h'!D58</f>
        <v>75166750</v>
      </c>
      <c r="E22" s="268" t="s">
        <v>244</v>
      </c>
      <c r="F22" s="123">
        <v>5043956</v>
      </c>
      <c r="G22" s="123">
        <v>5043956</v>
      </c>
    </row>
    <row r="23" spans="2:7">
      <c r="B23" s="267"/>
      <c r="C23" s="271"/>
      <c r="D23" s="127"/>
      <c r="E23" s="268" t="s">
        <v>245</v>
      </c>
      <c r="F23" s="123">
        <v>0</v>
      </c>
      <c r="G23" s="123">
        <v>0</v>
      </c>
    </row>
    <row r="24" spans="2:7">
      <c r="B24" s="265" t="s">
        <v>246</v>
      </c>
      <c r="C24" s="122">
        <f>+C25</f>
        <v>104566982</v>
      </c>
      <c r="D24" s="122">
        <f>+D25</f>
        <v>126994843</v>
      </c>
      <c r="E24" s="268"/>
      <c r="F24" s="124"/>
      <c r="G24" s="124"/>
    </row>
    <row r="25" spans="2:7">
      <c r="B25" s="267" t="s">
        <v>247</v>
      </c>
      <c r="C25" s="123">
        <f>+'Anexo 5i-5m'!C32</f>
        <v>104566982</v>
      </c>
      <c r="D25" s="123">
        <f>+'Anexo 5i-5m'!D32</f>
        <v>126994843</v>
      </c>
      <c r="E25" s="266" t="s">
        <v>248</v>
      </c>
      <c r="F25" s="122">
        <f>+SUM(F26:F28)</f>
        <v>30439880</v>
      </c>
      <c r="G25" s="122">
        <f>+SUM(G26:G28)</f>
        <v>11121674</v>
      </c>
    </row>
    <row r="26" spans="2:7">
      <c r="B26" s="265"/>
      <c r="C26" s="271"/>
      <c r="D26" s="127"/>
      <c r="E26" s="268" t="s">
        <v>249</v>
      </c>
      <c r="F26" s="123">
        <f>+'Anexo 5n-5r'!C32</f>
        <v>12019938</v>
      </c>
      <c r="G26" s="123">
        <f>+'Anexo 5n-5r'!D32</f>
        <v>11121674</v>
      </c>
    </row>
    <row r="27" spans="2:7">
      <c r="B27" s="265"/>
      <c r="C27" s="271"/>
      <c r="D27" s="127"/>
      <c r="E27" s="268" t="s">
        <v>250</v>
      </c>
      <c r="F27" s="123">
        <v>18419942</v>
      </c>
      <c r="G27" s="123">
        <v>0</v>
      </c>
    </row>
    <row r="28" spans="2:7">
      <c r="B28" s="265"/>
      <c r="C28" s="271"/>
      <c r="D28" s="127"/>
      <c r="E28" s="268"/>
      <c r="F28" s="123"/>
      <c r="G28" s="124"/>
    </row>
    <row r="29" spans="2:7">
      <c r="B29" s="265" t="s">
        <v>251</v>
      </c>
      <c r="C29" s="122">
        <f>+C25+C19+C15+C11</f>
        <v>2054106232.9749999</v>
      </c>
      <c r="D29" s="122">
        <f>+D25+D19+D15+D11</f>
        <v>2252121392.1099977</v>
      </c>
      <c r="E29" s="266" t="s">
        <v>252</v>
      </c>
      <c r="F29" s="122">
        <f>+F11+F16+F20+F25</f>
        <v>279012890.14200002</v>
      </c>
      <c r="G29" s="122">
        <f>+G11+G16+G20+G25</f>
        <v>210681944.99000001</v>
      </c>
    </row>
    <row r="30" spans="2:7">
      <c r="B30" s="267"/>
      <c r="C30" s="269"/>
      <c r="D30" s="268"/>
      <c r="E30" s="267"/>
      <c r="F30" s="124"/>
      <c r="G30" s="124"/>
    </row>
    <row r="31" spans="2:7">
      <c r="B31" s="265" t="s">
        <v>253</v>
      </c>
      <c r="C31" s="123"/>
      <c r="D31" s="124"/>
      <c r="E31" s="265" t="s">
        <v>254</v>
      </c>
      <c r="F31" s="230"/>
      <c r="G31" s="124"/>
    </row>
    <row r="32" spans="2:7">
      <c r="B32" s="265" t="s">
        <v>255</v>
      </c>
      <c r="C32" s="122">
        <f>+SUM(C33:C36)</f>
        <v>1005592761</v>
      </c>
      <c r="D32" s="122">
        <f>+SUM(D33:D36)</f>
        <v>919774056</v>
      </c>
      <c r="E32" s="266" t="s">
        <v>234</v>
      </c>
      <c r="F32" s="122">
        <f>+F33</f>
        <v>0</v>
      </c>
      <c r="G32" s="122">
        <f>+G33</f>
        <v>76923080</v>
      </c>
    </row>
    <row r="33" spans="2:8">
      <c r="B33" s="272" t="s">
        <v>256</v>
      </c>
      <c r="C33" s="123">
        <v>0</v>
      </c>
      <c r="D33" s="123">
        <v>18644632</v>
      </c>
      <c r="E33" s="268" t="s">
        <v>236</v>
      </c>
      <c r="F33" s="123">
        <f>+'Anexo 5i-5m'!C62</f>
        <v>0</v>
      </c>
      <c r="G33" s="123">
        <f>+'Anexo 5i-5m'!D62</f>
        <v>76923080</v>
      </c>
    </row>
    <row r="34" spans="2:8">
      <c r="B34" s="272" t="s">
        <v>257</v>
      </c>
      <c r="C34" s="123">
        <v>3592761</v>
      </c>
      <c r="D34" s="123">
        <v>1129424</v>
      </c>
      <c r="E34" s="268"/>
      <c r="F34" s="123"/>
      <c r="G34" s="123"/>
    </row>
    <row r="35" spans="2:8">
      <c r="B35" s="267" t="s">
        <v>258</v>
      </c>
      <c r="C35" s="123">
        <f>+'Anexo 5d-5h'!D40</f>
        <v>1002000000</v>
      </c>
      <c r="D35" s="123">
        <v>900000000</v>
      </c>
      <c r="E35" s="268" t="s">
        <v>259</v>
      </c>
      <c r="F35" s="125">
        <f>+'Anexo 5n-5r'!C10</f>
        <v>0</v>
      </c>
      <c r="G35" s="125">
        <f>+'Anexo 5n-5r'!D10</f>
        <v>461139874</v>
      </c>
    </row>
    <row r="36" spans="2:8" ht="18.75" customHeight="1">
      <c r="B36" s="267" t="s">
        <v>260</v>
      </c>
      <c r="C36" s="123">
        <v>0</v>
      </c>
      <c r="D36" s="123">
        <v>0</v>
      </c>
      <c r="E36" s="268"/>
      <c r="F36" s="127"/>
      <c r="G36" s="127"/>
    </row>
    <row r="37" spans="2:8">
      <c r="B37" s="270"/>
      <c r="C37" s="271"/>
      <c r="D37" s="127"/>
      <c r="E37" s="266" t="s">
        <v>261</v>
      </c>
      <c r="F37" s="278">
        <f>+F32+F35</f>
        <v>0</v>
      </c>
      <c r="G37" s="278">
        <v>538062954</v>
      </c>
    </row>
    <row r="38" spans="2:8">
      <c r="B38" s="265" t="s">
        <v>262</v>
      </c>
      <c r="C38" s="271"/>
      <c r="D38" s="127"/>
      <c r="E38" s="266"/>
      <c r="F38" s="123"/>
      <c r="G38" s="123"/>
    </row>
    <row r="39" spans="2:8">
      <c r="B39" s="267"/>
      <c r="C39" s="271"/>
      <c r="D39" s="127"/>
      <c r="E39" s="266"/>
      <c r="F39" s="124"/>
      <c r="G39" s="124"/>
    </row>
    <row r="40" spans="2:8">
      <c r="B40" s="265" t="s">
        <v>263</v>
      </c>
      <c r="C40" s="123">
        <f>+'Anexo 5d-5h'!G116</f>
        <v>257672532</v>
      </c>
      <c r="D40" s="123">
        <f>+'Anexo 5d-5h'!G117</f>
        <v>238473715</v>
      </c>
      <c r="E40" s="266" t="s">
        <v>264</v>
      </c>
      <c r="F40" s="122">
        <f>+F29+F37</f>
        <v>279012890.14200002</v>
      </c>
      <c r="G40" s="122">
        <f>+G29+G37</f>
        <v>748744898.99000001</v>
      </c>
    </row>
    <row r="41" spans="2:8">
      <c r="B41" s="267" t="s">
        <v>265</v>
      </c>
      <c r="C41" s="123">
        <f>-'Anexo 5d-5h'!L116</f>
        <v>-222859791.03683394</v>
      </c>
      <c r="D41" s="123">
        <f>-'Anexo 5d-5h'!L117</f>
        <v>-212023375.22468257</v>
      </c>
      <c r="E41" s="266"/>
      <c r="F41" s="126"/>
      <c r="G41" s="126"/>
    </row>
    <row r="42" spans="2:8">
      <c r="B42" s="267"/>
      <c r="C42" s="271"/>
      <c r="D42" s="127"/>
      <c r="E42" s="266" t="s">
        <v>266</v>
      </c>
      <c r="F42" s="122"/>
      <c r="G42" s="122"/>
    </row>
    <row r="43" spans="2:8">
      <c r="B43" s="267"/>
      <c r="C43" s="271"/>
      <c r="D43" s="127"/>
      <c r="E43" s="268" t="s">
        <v>267</v>
      </c>
      <c r="F43" s="123">
        <f>3332300000+210600000</f>
        <v>3542900000</v>
      </c>
      <c r="G43" s="123">
        <v>3332300000</v>
      </c>
      <c r="H43" s="306">
        <f>+F43-'Información General'!L247</f>
        <v>0</v>
      </c>
    </row>
    <row r="44" spans="2:8">
      <c r="B44" s="279" t="s">
        <v>268</v>
      </c>
      <c r="C44" s="122">
        <f>+'Anexo 5i-5m'!F9</f>
        <v>88348481</v>
      </c>
      <c r="D44" s="122">
        <v>54939392</v>
      </c>
      <c r="E44" s="268" t="s">
        <v>269</v>
      </c>
      <c r="F44" s="123">
        <v>9900298</v>
      </c>
      <c r="G44" s="123">
        <v>9484301</v>
      </c>
    </row>
    <row r="45" spans="2:8">
      <c r="B45" s="279"/>
      <c r="C45" s="123"/>
      <c r="D45" s="124"/>
      <c r="E45" s="268" t="s">
        <v>270</v>
      </c>
      <c r="F45" s="123">
        <f>224610438-210600000</f>
        <v>14010438</v>
      </c>
      <c r="G45" s="123">
        <v>7000000</v>
      </c>
    </row>
    <row r="46" spans="2:8">
      <c r="B46" s="279" t="s">
        <v>271</v>
      </c>
      <c r="C46" s="122">
        <f>+C47</f>
        <v>311618073</v>
      </c>
      <c r="D46" s="122">
        <f>+D47</f>
        <v>311618073</v>
      </c>
      <c r="E46" s="268" t="s">
        <v>272</v>
      </c>
      <c r="F46" s="123">
        <v>802000000</v>
      </c>
      <c r="G46" s="123">
        <v>700000000</v>
      </c>
      <c r="H46" s="12"/>
    </row>
    <row r="47" spans="2:8">
      <c r="B47" s="280" t="s">
        <v>273</v>
      </c>
      <c r="C47" s="123">
        <f>+'Anexo 5i-5m'!C39</f>
        <v>311618073</v>
      </c>
      <c r="D47" s="123">
        <f>+'Anexo 5i-5m'!D39</f>
        <v>311618073</v>
      </c>
      <c r="E47" s="266" t="s">
        <v>274</v>
      </c>
      <c r="F47" s="122">
        <f>+F48+F49+F50</f>
        <v>162413768</v>
      </c>
      <c r="G47" s="122">
        <f>+G48+G49+G50</f>
        <v>169574314</v>
      </c>
    </row>
    <row r="48" spans="2:8">
      <c r="B48" s="281"/>
      <c r="C48" s="123"/>
      <c r="D48" s="124"/>
      <c r="E48" s="268" t="s">
        <v>275</v>
      </c>
      <c r="F48" s="123">
        <v>114920325</v>
      </c>
      <c r="G48" s="123">
        <v>101070434</v>
      </c>
    </row>
    <row r="49" spans="2:9">
      <c r="B49" s="267"/>
      <c r="C49" s="123"/>
      <c r="D49" s="123"/>
      <c r="E49" s="268" t="s">
        <v>276</v>
      </c>
      <c r="F49" s="123">
        <v>36651641</v>
      </c>
      <c r="G49" s="123">
        <v>57662078</v>
      </c>
    </row>
    <row r="50" spans="2:9">
      <c r="B50" s="267"/>
      <c r="C50" s="123"/>
      <c r="D50" s="123"/>
      <c r="E50" s="268" t="s">
        <v>277</v>
      </c>
      <c r="F50" s="123">
        <v>10841802</v>
      </c>
      <c r="G50" s="123">
        <v>10841802</v>
      </c>
    </row>
    <row r="51" spans="2:9">
      <c r="B51" s="267"/>
      <c r="C51" s="123"/>
      <c r="D51" s="123"/>
      <c r="E51" s="268"/>
      <c r="F51" s="122">
        <f>+F52+F53</f>
        <v>-1315759105</v>
      </c>
      <c r="G51" s="122">
        <f>+G52+G53</f>
        <v>-1402200261</v>
      </c>
    </row>
    <row r="52" spans="2:9">
      <c r="B52" s="267"/>
      <c r="C52" s="123"/>
      <c r="D52" s="123"/>
      <c r="E52" s="268" t="s">
        <v>278</v>
      </c>
      <c r="F52" s="123">
        <v>-1528230865</v>
      </c>
      <c r="G52" s="123">
        <v>-1528230865</v>
      </c>
      <c r="H52" s="12"/>
    </row>
    <row r="53" spans="2:9">
      <c r="B53" s="267"/>
      <c r="C53" s="123"/>
      <c r="D53" s="123"/>
      <c r="E53" s="268" t="s">
        <v>279</v>
      </c>
      <c r="F53" s="123">
        <f>263041965-50570205</f>
        <v>212471760</v>
      </c>
      <c r="G53" s="123">
        <v>126030604</v>
      </c>
      <c r="H53" s="12"/>
    </row>
    <row r="54" spans="2:9">
      <c r="B54" s="267"/>
      <c r="C54" s="123"/>
      <c r="D54" s="124"/>
      <c r="E54" s="127"/>
      <c r="F54" s="127"/>
      <c r="G54" s="127"/>
      <c r="H54" s="18"/>
    </row>
    <row r="55" spans="2:9" ht="15.75" thickBot="1">
      <c r="B55" s="265" t="s">
        <v>280</v>
      </c>
      <c r="C55" s="122">
        <f>+C32+C40+C41+C44+C46</f>
        <v>1440372055.963166</v>
      </c>
      <c r="D55" s="122">
        <f>+D32+D40+D41+D44+D46</f>
        <v>1312781860.7753174</v>
      </c>
      <c r="E55" s="266" t="s">
        <v>281</v>
      </c>
      <c r="F55" s="282">
        <f>+F51+F47+F46+F45+F44+F43</f>
        <v>3215465399</v>
      </c>
      <c r="G55" s="282">
        <f>+G51+G47+G46+G45+G44+G43</f>
        <v>2816158354</v>
      </c>
      <c r="H55" s="18"/>
    </row>
    <row r="56" spans="2:9">
      <c r="B56" s="402" t="s">
        <v>282</v>
      </c>
      <c r="C56" s="404">
        <f>+C29+C55</f>
        <v>3494478288.9381657</v>
      </c>
      <c r="D56" s="404">
        <f>+D29+D55</f>
        <v>3564903252.8853149</v>
      </c>
      <c r="E56" s="406" t="s">
        <v>283</v>
      </c>
      <c r="F56" s="408">
        <f>+F40+F55</f>
        <v>3494478289.1420002</v>
      </c>
      <c r="G56" s="408">
        <f>+G40+G55</f>
        <v>3564903252.9899998</v>
      </c>
      <c r="H56" s="12"/>
    </row>
    <row r="57" spans="2:9" ht="15.75" thickBot="1">
      <c r="B57" s="403"/>
      <c r="C57" s="405"/>
      <c r="D57" s="405"/>
      <c r="E57" s="407"/>
      <c r="F57" s="409"/>
      <c r="G57" s="409"/>
      <c r="H57" s="12"/>
      <c r="I57" s="12"/>
    </row>
    <row r="58" spans="2:9">
      <c r="F58" s="28"/>
    </row>
    <row r="59" spans="2:9" ht="15.75" thickBot="1">
      <c r="H59" s="12"/>
    </row>
    <row r="60" spans="2:9" ht="15" customHeight="1">
      <c r="B60" s="410"/>
      <c r="C60" s="412" t="s">
        <v>222</v>
      </c>
      <c r="D60" s="398" t="s">
        <v>284</v>
      </c>
      <c r="E60" s="396"/>
      <c r="F60" s="398" t="s">
        <v>222</v>
      </c>
      <c r="G60" s="400" t="s">
        <v>284</v>
      </c>
    </row>
    <row r="61" spans="2:9">
      <c r="B61" s="411"/>
      <c r="C61" s="413"/>
      <c r="D61" s="399"/>
      <c r="E61" s="397"/>
      <c r="F61" s="399"/>
      <c r="G61" s="401"/>
    </row>
    <row r="62" spans="2:9">
      <c r="B62" s="29" t="s">
        <v>285</v>
      </c>
      <c r="C62" s="137">
        <f>SUM(C63:C66)</f>
        <v>1505469110</v>
      </c>
      <c r="D62" s="137">
        <f>SUM(D63:D66)</f>
        <v>1290385524</v>
      </c>
      <c r="E62" s="30" t="s">
        <v>286</v>
      </c>
      <c r="F62" s="137">
        <f>SUM(F63:F66)</f>
        <v>1505469110</v>
      </c>
      <c r="G62" s="137">
        <f>SUM(G63:G66)</f>
        <v>1290375524</v>
      </c>
    </row>
    <row r="63" spans="2:9">
      <c r="B63" s="31"/>
      <c r="C63" s="231"/>
      <c r="D63" s="231"/>
      <c r="E63" s="232"/>
      <c r="F63" s="231"/>
      <c r="G63" s="231"/>
    </row>
    <row r="64" spans="2:9">
      <c r="B64" s="31" t="s">
        <v>287</v>
      </c>
      <c r="C64" s="231">
        <v>1390399078</v>
      </c>
      <c r="D64" s="231"/>
      <c r="E64" s="232" t="s">
        <v>288</v>
      </c>
      <c r="F64" s="231">
        <v>115070032</v>
      </c>
      <c r="G64" s="231">
        <v>0</v>
      </c>
    </row>
    <row r="65" spans="2:8">
      <c r="B65" s="31" t="s">
        <v>289</v>
      </c>
      <c r="C65" s="138">
        <v>73855067</v>
      </c>
      <c r="D65" s="138">
        <v>1524424</v>
      </c>
      <c r="E65" s="232" t="s">
        <v>290</v>
      </c>
      <c r="F65" s="231">
        <v>1390399078</v>
      </c>
      <c r="G65" s="231">
        <v>1290375524</v>
      </c>
    </row>
    <row r="66" spans="2:8" ht="15.75" thickBot="1">
      <c r="B66" s="32" t="s">
        <v>291</v>
      </c>
      <c r="C66" s="139">
        <v>41214965</v>
      </c>
      <c r="D66" s="139">
        <v>1288861100</v>
      </c>
      <c r="E66" s="34"/>
      <c r="F66" s="33"/>
      <c r="G66" s="33"/>
    </row>
    <row r="69" spans="2:8">
      <c r="B69" s="414" t="s">
        <v>292</v>
      </c>
      <c r="C69" s="414"/>
      <c r="D69" s="414"/>
      <c r="E69" s="414"/>
      <c r="F69" s="414"/>
      <c r="G69" s="414"/>
      <c r="H69" s="164"/>
    </row>
  </sheetData>
  <mergeCells count="20">
    <mergeCell ref="B69:G69"/>
    <mergeCell ref="D8:D9"/>
    <mergeCell ref="E8:E9"/>
    <mergeCell ref="F8:F9"/>
    <mergeCell ref="G8:G9"/>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4:G50"/>
  <sheetViews>
    <sheetView showGridLines="0" topLeftCell="A25" zoomScale="102" zoomScaleNormal="102" workbookViewId="0">
      <selection activeCell="C48" sqref="C48"/>
    </sheetView>
  </sheetViews>
  <sheetFormatPr defaultColWidth="10.7109375" defaultRowHeight="15"/>
  <cols>
    <col min="2" max="2" width="47" bestFit="1" customWidth="1"/>
    <col min="3" max="3" width="16.7109375" customWidth="1"/>
    <col min="4" max="4" width="23.42578125" customWidth="1"/>
    <col min="6" max="6" width="12.7109375" bestFit="1" customWidth="1"/>
    <col min="8" max="8" width="17.28515625" customWidth="1"/>
  </cols>
  <sheetData>
    <row r="4" spans="2:4">
      <c r="B4" s="415" t="s">
        <v>293</v>
      </c>
      <c r="C4" s="415"/>
      <c r="D4" s="415"/>
    </row>
    <row r="5" spans="2:4">
      <c r="B5" s="415"/>
      <c r="C5" s="415"/>
      <c r="D5" s="415"/>
    </row>
    <row r="7" spans="2:4" ht="22.5">
      <c r="B7" s="196"/>
      <c r="C7" s="197" t="s">
        <v>219</v>
      </c>
      <c r="D7" s="191" t="s">
        <v>294</v>
      </c>
    </row>
    <row r="8" spans="2:4">
      <c r="B8" s="110" t="s">
        <v>295</v>
      </c>
      <c r="C8" s="111">
        <f>+SUM(C9:C16)</f>
        <v>1106448556</v>
      </c>
      <c r="D8" s="111">
        <f>+SUM(D9:D16)</f>
        <v>1083587163</v>
      </c>
    </row>
    <row r="9" spans="2:4">
      <c r="B9" s="112" t="s">
        <v>296</v>
      </c>
      <c r="C9" s="115"/>
      <c r="D9" s="115"/>
    </row>
    <row r="10" spans="2:4">
      <c r="B10" s="113" t="s">
        <v>297</v>
      </c>
      <c r="C10" s="141">
        <v>498838</v>
      </c>
      <c r="D10" s="141">
        <v>8958189</v>
      </c>
    </row>
    <row r="11" spans="2:4">
      <c r="B11" s="113" t="s">
        <v>298</v>
      </c>
      <c r="C11" s="141">
        <v>94266907</v>
      </c>
      <c r="D11" s="141">
        <v>327421623</v>
      </c>
    </row>
    <row r="12" spans="2:4">
      <c r="B12" s="112" t="s">
        <v>299</v>
      </c>
      <c r="C12" s="115"/>
      <c r="D12" s="115"/>
    </row>
    <row r="13" spans="2:4">
      <c r="B13" s="113" t="s">
        <v>300</v>
      </c>
      <c r="C13" s="141">
        <v>15705263</v>
      </c>
      <c r="D13" s="141">
        <v>1494820</v>
      </c>
    </row>
    <row r="14" spans="2:4">
      <c r="B14" s="113" t="s">
        <v>301</v>
      </c>
      <c r="C14" s="141">
        <v>89873816</v>
      </c>
      <c r="D14" s="141">
        <v>89731680</v>
      </c>
    </row>
    <row r="15" spans="2:4">
      <c r="B15" s="114" t="s">
        <v>302</v>
      </c>
      <c r="C15" s="141">
        <v>19770129</v>
      </c>
      <c r="D15" s="141">
        <v>220000000</v>
      </c>
    </row>
    <row r="16" spans="2:4">
      <c r="B16" s="114" t="s">
        <v>303</v>
      </c>
      <c r="C16" s="141">
        <f>+'Anexo 5s-5w'!C42</f>
        <v>886333603</v>
      </c>
      <c r="D16" s="141">
        <f>+'Anexo 5s-5w'!D42</f>
        <v>435980851</v>
      </c>
    </row>
    <row r="17" spans="2:6">
      <c r="B17" s="110" t="s">
        <v>304</v>
      </c>
      <c r="C17" s="111">
        <f>-SUM(C18:C20)</f>
        <v>-99987884</v>
      </c>
      <c r="D17" s="111">
        <f>-SUM(D18:D20)</f>
        <v>-103961453</v>
      </c>
    </row>
    <row r="18" spans="2:6">
      <c r="B18" s="114" t="s">
        <v>305</v>
      </c>
      <c r="C18" s="273">
        <v>5101763</v>
      </c>
      <c r="D18" s="273">
        <v>10237634</v>
      </c>
    </row>
    <row r="19" spans="2:6">
      <c r="B19" s="114" t="s">
        <v>306</v>
      </c>
      <c r="C19" s="115">
        <f>'Anexo 5s-5w'!C54</f>
        <v>94886121</v>
      </c>
      <c r="D19" s="115">
        <f>+'Anexo 5s-5w'!D54</f>
        <v>93723819</v>
      </c>
    </row>
    <row r="20" spans="2:6">
      <c r="B20" s="114" t="s">
        <v>307</v>
      </c>
      <c r="C20" s="115">
        <f>+'Anexo 5s-5w'!C63</f>
        <v>0</v>
      </c>
      <c r="D20" s="115">
        <f>+'Anexo 5s-5w'!D63</f>
        <v>0</v>
      </c>
      <c r="F20" s="12"/>
    </row>
    <row r="21" spans="2:6">
      <c r="B21" s="110" t="s">
        <v>308</v>
      </c>
      <c r="C21" s="111">
        <f>+C8+C17</f>
        <v>1006460672</v>
      </c>
      <c r="D21" s="111">
        <f>+D8+D17</f>
        <v>979625710</v>
      </c>
    </row>
    <row r="22" spans="2:6">
      <c r="B22" s="112" t="s">
        <v>309</v>
      </c>
      <c r="C22" s="116">
        <f>-SUM(C23:C25)</f>
        <v>-204818095</v>
      </c>
      <c r="D22" s="116">
        <f>-SUM(D23:D25)</f>
        <v>-361772420</v>
      </c>
    </row>
    <row r="23" spans="2:6">
      <c r="B23" s="114" t="s">
        <v>310</v>
      </c>
      <c r="C23" s="115">
        <v>6785317</v>
      </c>
      <c r="D23" s="115">
        <v>22271398</v>
      </c>
    </row>
    <row r="24" spans="2:6">
      <c r="B24" s="114" t="s">
        <v>311</v>
      </c>
      <c r="C24" s="115">
        <f>1250000+80000</f>
        <v>1330000</v>
      </c>
      <c r="D24" s="115">
        <v>0</v>
      </c>
    </row>
    <row r="25" spans="2:6">
      <c r="B25" s="114" t="s">
        <v>312</v>
      </c>
      <c r="C25" s="115">
        <f>'Anexo 5s-5w'!C73</f>
        <v>196702778</v>
      </c>
      <c r="D25" s="115">
        <f>+'Anexo 5s-5w'!D73</f>
        <v>339501022</v>
      </c>
    </row>
    <row r="26" spans="2:6">
      <c r="B26" s="112" t="s">
        <v>313</v>
      </c>
      <c r="C26" s="116">
        <f>-SUM(C27:C32)</f>
        <v>-834353126</v>
      </c>
      <c r="D26" s="116">
        <f>-SUM(D27:D32)</f>
        <v>-797133530</v>
      </c>
    </row>
    <row r="27" spans="2:6">
      <c r="B27" s="114" t="s">
        <v>314</v>
      </c>
      <c r="C27" s="115">
        <f>237362640+29090911</f>
        <v>266453551</v>
      </c>
      <c r="D27" s="115">
        <v>0</v>
      </c>
    </row>
    <row r="28" spans="2:6">
      <c r="B28" s="114" t="s">
        <v>315</v>
      </c>
      <c r="C28" s="115">
        <v>10836415</v>
      </c>
      <c r="D28" s="115">
        <v>5410908</v>
      </c>
    </row>
    <row r="29" spans="2:6">
      <c r="B29" s="114" t="s">
        <v>316</v>
      </c>
      <c r="C29" s="115"/>
      <c r="D29" s="115">
        <v>3286500</v>
      </c>
    </row>
    <row r="30" spans="2:6">
      <c r="B30" s="114" t="s">
        <v>317</v>
      </c>
      <c r="C30" s="115">
        <v>4378791</v>
      </c>
      <c r="D30" s="115">
        <v>3681820</v>
      </c>
    </row>
    <row r="31" spans="2:6">
      <c r="B31" s="114" t="s">
        <v>318</v>
      </c>
      <c r="C31" s="115">
        <v>7401310</v>
      </c>
      <c r="D31" s="115">
        <v>30774456</v>
      </c>
    </row>
    <row r="32" spans="2:6">
      <c r="B32" s="114" t="s">
        <v>319</v>
      </c>
      <c r="C32" s="115">
        <f>'Anexo 5s-5w'!C104</f>
        <v>545283059</v>
      </c>
      <c r="D32" s="115">
        <f>+'Anexo 5s-5w'!D104</f>
        <v>753979846</v>
      </c>
    </row>
    <row r="33" spans="2:5">
      <c r="B33" s="110" t="s">
        <v>320</v>
      </c>
      <c r="C33" s="111">
        <f>+C21+C22+C26</f>
        <v>-32710549</v>
      </c>
      <c r="D33" s="111">
        <f>+D21+D22+D26</f>
        <v>-179280240</v>
      </c>
    </row>
    <row r="34" spans="2:5">
      <c r="B34" s="112" t="s">
        <v>321</v>
      </c>
      <c r="C34" s="116"/>
      <c r="D34" s="116"/>
    </row>
    <row r="35" spans="2:5">
      <c r="B35" s="114" t="s">
        <v>322</v>
      </c>
      <c r="C35" s="115">
        <f>+'Anexo 5x-5z'!C13</f>
        <v>180821201</v>
      </c>
      <c r="D35" s="115">
        <f>+'Anexo 5x-5z'!D13</f>
        <v>221875595</v>
      </c>
    </row>
    <row r="36" spans="2:5">
      <c r="B36" s="114" t="s">
        <v>323</v>
      </c>
      <c r="C36" s="115">
        <v>0</v>
      </c>
      <c r="D36" s="115">
        <v>0</v>
      </c>
    </row>
    <row r="37" spans="2:5">
      <c r="B37" s="112" t="s">
        <v>324</v>
      </c>
      <c r="C37" s="116"/>
      <c r="D37" s="116"/>
    </row>
    <row r="38" spans="2:5">
      <c r="B38" s="112" t="s">
        <v>325</v>
      </c>
      <c r="C38" s="116"/>
      <c r="D38" s="116"/>
    </row>
    <row r="39" spans="2:5">
      <c r="B39" s="114" t="s">
        <v>326</v>
      </c>
      <c r="C39" s="115">
        <f>+'Anexo 5x-5z'!C30</f>
        <v>61161515</v>
      </c>
      <c r="D39" s="115">
        <f>+'Anexo 5x-5z'!D30</f>
        <v>108488019</v>
      </c>
    </row>
    <row r="40" spans="2:5">
      <c r="B40" s="114" t="s">
        <v>327</v>
      </c>
      <c r="C40" s="115">
        <f>+'Anexo 5a-5c'!D37</f>
        <v>80926485</v>
      </c>
      <c r="D40" s="115">
        <v>10464325</v>
      </c>
    </row>
    <row r="41" spans="2:5">
      <c r="B41" s="112" t="s">
        <v>328</v>
      </c>
      <c r="C41" s="116"/>
      <c r="D41" s="116"/>
    </row>
    <row r="42" spans="2:5">
      <c r="B42" s="114" t="s">
        <v>329</v>
      </c>
      <c r="C42" s="115">
        <f>-'Anexo 5x-5z'!C37</f>
        <v>-12701645</v>
      </c>
      <c r="D42" s="115">
        <f>-'Anexo 5x-5z'!D37</f>
        <v>-29401237</v>
      </c>
    </row>
    <row r="43" spans="2:5">
      <c r="B43" s="114" t="s">
        <v>327</v>
      </c>
      <c r="C43" s="115">
        <f>+'Anexo 5a-5c'!D38</f>
        <v>-26892970</v>
      </c>
      <c r="D43" s="115">
        <v>0</v>
      </c>
    </row>
    <row r="44" spans="2:5">
      <c r="B44" s="110" t="s">
        <v>330</v>
      </c>
      <c r="C44" s="111">
        <f>SUM(C33:C43)</f>
        <v>250604037</v>
      </c>
      <c r="D44" s="111">
        <f>SUM(D33:D43)</f>
        <v>132146462</v>
      </c>
    </row>
    <row r="45" spans="2:5">
      <c r="B45" s="117" t="s">
        <v>331</v>
      </c>
      <c r="C45" s="116">
        <v>24282386</v>
      </c>
      <c r="D45" s="116">
        <v>49960</v>
      </c>
    </row>
    <row r="46" spans="2:5">
      <c r="B46" s="117" t="s">
        <v>332</v>
      </c>
      <c r="C46" s="116">
        <v>13849891</v>
      </c>
      <c r="D46" s="116">
        <v>6065898</v>
      </c>
    </row>
    <row r="47" spans="2:5">
      <c r="B47" s="110" t="s">
        <v>333</v>
      </c>
      <c r="C47" s="111">
        <f>+C44-C45-C46</f>
        <v>212471760</v>
      </c>
      <c r="D47" s="111">
        <f>+D44-D45-D46</f>
        <v>126030604</v>
      </c>
      <c r="E47" s="12"/>
    </row>
    <row r="48" spans="2:5">
      <c r="C48" s="12"/>
      <c r="D48" s="12"/>
    </row>
    <row r="49" spans="2:7">
      <c r="B49" s="3"/>
      <c r="C49" s="12"/>
      <c r="D49" s="3"/>
      <c r="F49" s="416"/>
      <c r="G49" s="416"/>
    </row>
    <row r="50" spans="2:7">
      <c r="B50" s="414" t="s">
        <v>292</v>
      </c>
      <c r="C50" s="414"/>
      <c r="D50" s="414"/>
      <c r="E50" s="414"/>
      <c r="F50" s="414"/>
    </row>
  </sheetData>
  <mergeCells count="3">
    <mergeCell ref="B4:D5"/>
    <mergeCell ref="F49:G49"/>
    <mergeCell ref="B50:F50"/>
  </mergeCells>
  <pageMargins left="0.70866141732283472" right="0.70866141732283472" top="1.3385826771653544"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4:P27"/>
  <sheetViews>
    <sheetView showGridLines="0" topLeftCell="A4" zoomScale="102" zoomScaleNormal="102" workbookViewId="0">
      <selection activeCell="O20" sqref="O20"/>
    </sheetView>
  </sheetViews>
  <sheetFormatPr defaultColWidth="10.7109375" defaultRowHeight="15"/>
  <cols>
    <col min="1" max="1" width="4.7109375" customWidth="1"/>
    <col min="2" max="2" width="41.42578125" customWidth="1"/>
    <col min="3" max="3" width="16.42578125" customWidth="1"/>
    <col min="4" max="4" width="15" bestFit="1" customWidth="1"/>
    <col min="5" max="5" width="12.42578125" bestFit="1" customWidth="1"/>
    <col min="6" max="6" width="15" customWidth="1"/>
    <col min="7" max="7" width="16.7109375" customWidth="1"/>
    <col min="8" max="8" width="14.28515625" bestFit="1" customWidth="1"/>
    <col min="9" max="9" width="14.28515625" customWidth="1"/>
    <col min="10" max="10" width="14.28515625" bestFit="1" customWidth="1"/>
    <col min="11" max="11" width="15.42578125" customWidth="1"/>
    <col min="12" max="12" width="16.28515625" customWidth="1"/>
    <col min="13" max="13" width="15" bestFit="1" customWidth="1"/>
    <col min="14" max="14" width="14.28515625" bestFit="1" customWidth="1"/>
    <col min="15" max="16" width="13.42578125" bestFit="1" customWidth="1"/>
  </cols>
  <sheetData>
    <row r="4" spans="1:15" ht="15.75">
      <c r="B4" s="418" t="s">
        <v>334</v>
      </c>
      <c r="C4" s="418"/>
      <c r="D4" s="418"/>
      <c r="E4" s="418"/>
      <c r="F4" s="418"/>
      <c r="G4" s="418"/>
      <c r="H4" s="418"/>
      <c r="I4" s="418"/>
      <c r="J4" s="418"/>
      <c r="K4" s="418"/>
      <c r="L4" s="418"/>
      <c r="M4" s="418"/>
      <c r="N4" s="418"/>
    </row>
    <row r="5" spans="1:15" ht="15.75">
      <c r="A5" s="5"/>
      <c r="B5" s="419" t="s">
        <v>335</v>
      </c>
      <c r="C5" s="419"/>
      <c r="D5" s="419"/>
      <c r="E5" s="419"/>
      <c r="F5" s="419"/>
      <c r="G5" s="419"/>
      <c r="H5" s="419"/>
      <c r="I5" s="419"/>
      <c r="J5" s="419"/>
      <c r="K5" s="419"/>
      <c r="L5" s="419"/>
      <c r="M5" s="419"/>
      <c r="N5" s="419"/>
    </row>
    <row r="6" spans="1:15" ht="15.75">
      <c r="A6" s="5"/>
      <c r="B6" s="418" t="s">
        <v>336</v>
      </c>
      <c r="C6" s="418"/>
      <c r="D6" s="418"/>
      <c r="E6" s="418"/>
      <c r="F6" s="418"/>
      <c r="G6" s="418"/>
      <c r="H6" s="418"/>
      <c r="I6" s="418"/>
      <c r="J6" s="418"/>
      <c r="K6" s="418"/>
      <c r="L6" s="418"/>
      <c r="M6" s="418"/>
      <c r="N6" s="418"/>
    </row>
    <row r="7" spans="1:15" ht="15.75">
      <c r="A7" s="5"/>
      <c r="B7" s="35"/>
      <c r="C7" s="35"/>
      <c r="D7" s="35"/>
      <c r="E7" s="35"/>
      <c r="F7" s="35"/>
      <c r="G7" s="35"/>
      <c r="H7" s="35"/>
      <c r="I7" s="35"/>
      <c r="J7" s="35"/>
      <c r="K7" s="35"/>
      <c r="L7" s="35"/>
      <c r="M7" s="35"/>
      <c r="N7" s="35"/>
    </row>
    <row r="8" spans="1:15">
      <c r="B8" s="417" t="s">
        <v>337</v>
      </c>
      <c r="C8" s="417" t="s">
        <v>338</v>
      </c>
      <c r="D8" s="417"/>
      <c r="E8" s="417"/>
      <c r="F8" s="417"/>
      <c r="G8" s="417" t="s">
        <v>339</v>
      </c>
      <c r="H8" s="417"/>
      <c r="I8" s="417"/>
      <c r="J8" s="417"/>
      <c r="K8" s="417" t="s">
        <v>340</v>
      </c>
      <c r="L8" s="417"/>
      <c r="M8" s="417" t="s">
        <v>341</v>
      </c>
      <c r="N8" s="417"/>
    </row>
    <row r="9" spans="1:15">
      <c r="B9" s="417"/>
      <c r="C9" s="417" t="s">
        <v>342</v>
      </c>
      <c r="D9" s="417" t="s">
        <v>343</v>
      </c>
      <c r="E9" s="417" t="s">
        <v>344</v>
      </c>
      <c r="F9" s="417" t="s">
        <v>345</v>
      </c>
      <c r="G9" s="417" t="s">
        <v>346</v>
      </c>
      <c r="H9" s="417" t="s">
        <v>347</v>
      </c>
      <c r="I9" s="417" t="s">
        <v>348</v>
      </c>
      <c r="J9" s="417" t="s">
        <v>349</v>
      </c>
      <c r="K9" s="417" t="s">
        <v>350</v>
      </c>
      <c r="L9" s="417" t="s">
        <v>351</v>
      </c>
      <c r="M9" s="183" t="s">
        <v>352</v>
      </c>
      <c r="N9" s="417" t="s">
        <v>353</v>
      </c>
    </row>
    <row r="10" spans="1:15">
      <c r="B10" s="417"/>
      <c r="C10" s="417"/>
      <c r="D10" s="417"/>
      <c r="E10" s="417"/>
      <c r="F10" s="417"/>
      <c r="G10" s="417"/>
      <c r="H10" s="417"/>
      <c r="I10" s="417"/>
      <c r="J10" s="417"/>
      <c r="K10" s="417"/>
      <c r="L10" s="417"/>
      <c r="M10" s="183" t="s">
        <v>354</v>
      </c>
      <c r="N10" s="417"/>
      <c r="O10" s="12"/>
    </row>
    <row r="11" spans="1:15" s="233" customFormat="1">
      <c r="B11" s="65" t="s">
        <v>355</v>
      </c>
      <c r="C11" s="106"/>
      <c r="D11" s="106">
        <f>+'Balance General'!G45</f>
        <v>7000000</v>
      </c>
      <c r="E11" s="106">
        <f>+'Balance General'!G44</f>
        <v>9484301</v>
      </c>
      <c r="F11" s="106">
        <f>+'Balance General'!G43</f>
        <v>3332300000</v>
      </c>
      <c r="G11" s="106">
        <f>+'Balance General'!G48</f>
        <v>101070434</v>
      </c>
      <c r="H11" s="106">
        <f>+'Balance General'!G46</f>
        <v>700000000</v>
      </c>
      <c r="I11" s="106">
        <f>+'Balance General'!G49</f>
        <v>57662078</v>
      </c>
      <c r="J11" s="106">
        <f>+'Balance General'!G50</f>
        <v>10841802</v>
      </c>
      <c r="K11" s="106">
        <f>+'Balance General'!G52</f>
        <v>-1528230865</v>
      </c>
      <c r="L11" s="106">
        <f>+'Balance General'!G53</f>
        <v>126030604</v>
      </c>
      <c r="M11" s="106">
        <v>0</v>
      </c>
      <c r="N11" s="106">
        <f>SUM(C11:L11)</f>
        <v>2816158354</v>
      </c>
      <c r="O11" s="234"/>
    </row>
    <row r="12" spans="1:15" s="233" customFormat="1">
      <c r="B12" s="59" t="s">
        <v>356</v>
      </c>
      <c r="C12" s="259"/>
      <c r="D12" s="259"/>
      <c r="E12" s="260"/>
      <c r="F12" s="60"/>
      <c r="G12" s="60"/>
      <c r="H12" s="60"/>
      <c r="I12" s="60"/>
      <c r="J12" s="259"/>
      <c r="K12" s="60"/>
      <c r="L12" s="60"/>
      <c r="M12" s="106"/>
      <c r="N12" s="106"/>
    </row>
    <row r="13" spans="1:15" s="233" customFormat="1">
      <c r="B13" s="65" t="s">
        <v>357</v>
      </c>
      <c r="C13" s="107">
        <v>0</v>
      </c>
      <c r="D13" s="107">
        <f>+'Balance General'!F45-'Balance General'!G45</f>
        <v>7010438</v>
      </c>
      <c r="E13" s="107">
        <f>+'Balance General'!F44-'Balance General'!G44</f>
        <v>415997</v>
      </c>
      <c r="F13" s="107">
        <f>+'Balance General'!F43-'Balance General'!G43</f>
        <v>210600000</v>
      </c>
      <c r="G13" s="108">
        <v>0</v>
      </c>
      <c r="H13" s="108">
        <v>0</v>
      </c>
      <c r="I13" s="108">
        <v>0</v>
      </c>
      <c r="J13" s="108">
        <v>0</v>
      </c>
      <c r="K13" s="108">
        <v>0</v>
      </c>
      <c r="L13" s="108">
        <v>0</v>
      </c>
      <c r="M13" s="106">
        <f t="shared" ref="M13:M18" si="0">SUM(C13:L13)</f>
        <v>218026435</v>
      </c>
      <c r="N13" s="106">
        <v>0</v>
      </c>
    </row>
    <row r="14" spans="1:15" s="233" customFormat="1">
      <c r="B14" s="65" t="s">
        <v>358</v>
      </c>
      <c r="C14" s="108">
        <v>0</v>
      </c>
      <c r="D14" s="108">
        <v>0</v>
      </c>
      <c r="E14" s="108">
        <v>0</v>
      </c>
      <c r="F14" s="108">
        <v>0</v>
      </c>
      <c r="G14" s="109">
        <f>+'Balance General'!F48-'Balance General'!G48</f>
        <v>13849891</v>
      </c>
      <c r="H14" s="108">
        <v>0</v>
      </c>
      <c r="I14" s="108">
        <f>+'Balance General'!F49-'Balance General'!G49</f>
        <v>-21010437</v>
      </c>
      <c r="J14" s="108">
        <v>0</v>
      </c>
      <c r="K14" s="108">
        <v>0</v>
      </c>
      <c r="L14" s="108">
        <v>0</v>
      </c>
      <c r="M14" s="106">
        <f t="shared" si="0"/>
        <v>-7160546</v>
      </c>
      <c r="N14" s="106">
        <v>0</v>
      </c>
    </row>
    <row r="15" spans="1:15" s="233" customFormat="1">
      <c r="B15" s="65" t="s">
        <v>359</v>
      </c>
      <c r="C15" s="107">
        <v>0</v>
      </c>
      <c r="D15" s="107">
        <v>0</v>
      </c>
      <c r="E15" s="107">
        <v>0</v>
      </c>
      <c r="F15" s="107">
        <v>0</v>
      </c>
      <c r="G15" s="108">
        <v>0</v>
      </c>
      <c r="H15" s="108">
        <v>0</v>
      </c>
      <c r="I15" s="108">
        <v>0</v>
      </c>
      <c r="J15" s="108">
        <v>0</v>
      </c>
      <c r="K15" s="108">
        <f>+L11</f>
        <v>126030604</v>
      </c>
      <c r="L15" s="108">
        <f>-K15</f>
        <v>-126030604</v>
      </c>
      <c r="M15" s="106">
        <f t="shared" si="0"/>
        <v>0</v>
      </c>
      <c r="N15" s="106">
        <v>0</v>
      </c>
    </row>
    <row r="16" spans="1:15" s="233" customFormat="1">
      <c r="B16" s="65" t="s">
        <v>360</v>
      </c>
      <c r="C16" s="107">
        <v>0</v>
      </c>
      <c r="D16" s="107">
        <v>0</v>
      </c>
      <c r="E16" s="107">
        <v>0</v>
      </c>
      <c r="F16" s="107">
        <v>0</v>
      </c>
      <c r="G16" s="108">
        <v>0</v>
      </c>
      <c r="H16" s="108">
        <v>0</v>
      </c>
      <c r="I16" s="108">
        <v>0</v>
      </c>
      <c r="J16" s="108">
        <v>0</v>
      </c>
      <c r="K16" s="108">
        <f>(+'Balance General'!G52-'Balance General'!F52+'Balance General'!G53)*-1</f>
        <v>-126030604</v>
      </c>
      <c r="L16" s="108">
        <v>0</v>
      </c>
      <c r="M16" s="106">
        <f t="shared" si="0"/>
        <v>-126030604</v>
      </c>
      <c r="N16" s="106">
        <v>0</v>
      </c>
    </row>
    <row r="17" spans="2:16" s="233" customFormat="1">
      <c r="B17" s="65" t="s">
        <v>361</v>
      </c>
      <c r="C17" s="107">
        <v>0</v>
      </c>
      <c r="D17" s="107">
        <v>0</v>
      </c>
      <c r="E17" s="107">
        <v>0</v>
      </c>
      <c r="F17" s="107">
        <v>0</v>
      </c>
      <c r="G17" s="108">
        <v>0</v>
      </c>
      <c r="H17" s="108">
        <f>+'Balance General'!F46-'Balance General'!G46</f>
        <v>102000000</v>
      </c>
      <c r="I17" s="108">
        <v>0</v>
      </c>
      <c r="J17" s="108">
        <v>0</v>
      </c>
      <c r="K17" s="108">
        <v>0</v>
      </c>
      <c r="L17" s="108">
        <v>0</v>
      </c>
      <c r="M17" s="106">
        <f t="shared" si="0"/>
        <v>102000000</v>
      </c>
      <c r="N17" s="106">
        <v>0</v>
      </c>
    </row>
    <row r="18" spans="2:16" s="233" customFormat="1">
      <c r="B18" s="284" t="s">
        <v>362</v>
      </c>
      <c r="C18" s="285">
        <v>0</v>
      </c>
      <c r="D18" s="285">
        <v>0</v>
      </c>
      <c r="E18" s="285">
        <v>0</v>
      </c>
      <c r="F18" s="285">
        <v>0</v>
      </c>
      <c r="G18" s="283">
        <v>0</v>
      </c>
      <c r="H18" s="283">
        <v>0</v>
      </c>
      <c r="I18" s="283">
        <v>0</v>
      </c>
      <c r="J18" s="283">
        <v>0</v>
      </c>
      <c r="K18" s="286">
        <v>0</v>
      </c>
      <c r="L18" s="285">
        <f>+'Balance General'!F53</f>
        <v>212471760</v>
      </c>
      <c r="M18" s="283">
        <f t="shared" si="0"/>
        <v>212471760</v>
      </c>
      <c r="N18" s="283">
        <v>0</v>
      </c>
    </row>
    <row r="19" spans="2:16" s="233" customFormat="1">
      <c r="B19" s="287" t="s">
        <v>363</v>
      </c>
      <c r="C19" s="283">
        <f>SUM(C11:C18)</f>
        <v>0</v>
      </c>
      <c r="D19" s="283">
        <f t="shared" ref="D19:L19" si="1">SUM(D11:D18)</f>
        <v>14010438</v>
      </c>
      <c r="E19" s="283">
        <f t="shared" si="1"/>
        <v>9900298</v>
      </c>
      <c r="F19" s="283">
        <f t="shared" si="1"/>
        <v>3542900000</v>
      </c>
      <c r="G19" s="283">
        <f t="shared" si="1"/>
        <v>114920325</v>
      </c>
      <c r="H19" s="283">
        <f t="shared" si="1"/>
        <v>802000000</v>
      </c>
      <c r="I19" s="283">
        <f t="shared" si="1"/>
        <v>36651641</v>
      </c>
      <c r="J19" s="283">
        <f t="shared" si="1"/>
        <v>10841802</v>
      </c>
      <c r="K19" s="283">
        <f>SUM(K11:K18)</f>
        <v>-1528230865</v>
      </c>
      <c r="L19" s="283">
        <f t="shared" si="1"/>
        <v>212471760</v>
      </c>
      <c r="M19" s="283">
        <f>SUM(C19:L19)</f>
        <v>3215465399</v>
      </c>
      <c r="N19" s="283">
        <v>0</v>
      </c>
      <c r="O19" s="234"/>
      <c r="P19" s="234"/>
    </row>
    <row r="20" spans="2:16" s="233" customFormat="1">
      <c r="B20" s="287" t="s">
        <v>364</v>
      </c>
      <c r="C20" s="283">
        <f t="shared" ref="C20:H20" si="2">+C11</f>
        <v>0</v>
      </c>
      <c r="D20" s="283">
        <f t="shared" si="2"/>
        <v>7000000</v>
      </c>
      <c r="E20" s="288">
        <f t="shared" si="2"/>
        <v>9484301</v>
      </c>
      <c r="F20" s="288">
        <f t="shared" si="2"/>
        <v>3332300000</v>
      </c>
      <c r="G20" s="283">
        <f t="shared" si="2"/>
        <v>101070434</v>
      </c>
      <c r="H20" s="283">
        <f t="shared" si="2"/>
        <v>700000000</v>
      </c>
      <c r="I20" s="283">
        <v>0</v>
      </c>
      <c r="J20" s="283">
        <f>+J11</f>
        <v>10841802</v>
      </c>
      <c r="K20" s="283">
        <f>+K11</f>
        <v>-1528230865</v>
      </c>
      <c r="L20" s="283">
        <f>+L11</f>
        <v>126030604</v>
      </c>
      <c r="M20" s="283">
        <f>+M11</f>
        <v>0</v>
      </c>
      <c r="N20" s="283">
        <f>+N11</f>
        <v>2816158354</v>
      </c>
      <c r="O20" s="234"/>
    </row>
    <row r="21" spans="2:16">
      <c r="F21" s="12"/>
    </row>
    <row r="22" spans="2:16">
      <c r="M22" s="12"/>
    </row>
    <row r="23" spans="2:16" ht="16.5" customHeight="1">
      <c r="B23" s="174" t="s">
        <v>292</v>
      </c>
      <c r="C23" s="175"/>
      <c r="D23" s="176"/>
      <c r="E23" s="175"/>
      <c r="F23" s="175"/>
      <c r="G23" s="175"/>
      <c r="H23" s="175"/>
    </row>
    <row r="24" spans="2:16">
      <c r="B24" s="20"/>
      <c r="C24" s="20"/>
      <c r="D24" s="20"/>
      <c r="E24" s="20"/>
      <c r="F24" s="20"/>
      <c r="G24" s="20"/>
      <c r="H24" s="20"/>
      <c r="I24" s="20"/>
      <c r="J24" s="20"/>
      <c r="K24" s="20"/>
      <c r="L24" s="20"/>
      <c r="M24" s="20"/>
    </row>
    <row r="25" spans="2:16">
      <c r="B25" s="20"/>
      <c r="C25" s="20"/>
      <c r="D25" s="20"/>
      <c r="E25" s="20"/>
      <c r="F25" s="20"/>
      <c r="G25" s="20"/>
      <c r="H25" s="20"/>
      <c r="I25" s="20"/>
      <c r="J25" s="20"/>
      <c r="K25" s="20"/>
      <c r="L25" s="20"/>
      <c r="M25" s="20"/>
    </row>
    <row r="26" spans="2:16">
      <c r="B26" s="20"/>
      <c r="C26" s="20"/>
      <c r="D26" s="20"/>
      <c r="E26" s="20"/>
      <c r="F26" s="20"/>
      <c r="G26" s="20"/>
      <c r="H26" s="20"/>
      <c r="I26" s="20"/>
      <c r="J26" s="20"/>
      <c r="K26" s="20"/>
      <c r="L26" s="20"/>
      <c r="M26" s="20"/>
    </row>
    <row r="27" spans="2:16">
      <c r="B27" s="20"/>
      <c r="C27" s="20"/>
      <c r="D27" s="20"/>
      <c r="E27" s="20"/>
      <c r="F27" s="20"/>
      <c r="G27" s="20"/>
      <c r="H27" s="20"/>
      <c r="I27" s="20"/>
      <c r="J27" s="20"/>
      <c r="K27" s="20"/>
      <c r="L27" s="20"/>
      <c r="M27" s="20"/>
    </row>
  </sheetData>
  <mergeCells count="19">
    <mergeCell ref="B4:N4"/>
    <mergeCell ref="B5:N5"/>
    <mergeCell ref="B6:N6"/>
    <mergeCell ref="B8:B10"/>
    <mergeCell ref="C8:F8"/>
    <mergeCell ref="G8:J8"/>
    <mergeCell ref="K8:L8"/>
    <mergeCell ref="M8:N8"/>
    <mergeCell ref="C9:C10"/>
    <mergeCell ref="D9:D10"/>
    <mergeCell ref="E9:E10"/>
    <mergeCell ref="F9:F10"/>
    <mergeCell ref="G9:G10"/>
    <mergeCell ref="H9:H10"/>
    <mergeCell ref="J9:J10"/>
    <mergeCell ref="N9:N10"/>
    <mergeCell ref="K9:K10"/>
    <mergeCell ref="L9:L10"/>
    <mergeCell ref="I9:I1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4:F47"/>
  <sheetViews>
    <sheetView showGridLines="0" topLeftCell="A16" zoomScale="102" zoomScaleNormal="102" workbookViewId="0">
      <selection activeCell="B31" sqref="B31"/>
    </sheetView>
  </sheetViews>
  <sheetFormatPr defaultColWidth="10.7109375" defaultRowHeight="15"/>
  <cols>
    <col min="2" max="2" width="74.7109375" bestFit="1" customWidth="1"/>
    <col min="3" max="3" width="14.42578125" bestFit="1" customWidth="1"/>
    <col min="4" max="4" width="16.42578125" customWidth="1"/>
    <col min="5" max="5" width="13.7109375" customWidth="1"/>
    <col min="7" max="7" width="15.28515625" customWidth="1"/>
  </cols>
  <sheetData>
    <row r="4" spans="2:6">
      <c r="B4" s="421" t="s">
        <v>365</v>
      </c>
      <c r="C4" s="421"/>
      <c r="D4" s="421"/>
    </row>
    <row r="5" spans="2:6">
      <c r="B5" s="420" t="s">
        <v>366</v>
      </c>
      <c r="C5" s="420"/>
      <c r="D5" s="420"/>
    </row>
    <row r="6" spans="2:6">
      <c r="B6" s="421" t="s">
        <v>367</v>
      </c>
      <c r="C6" s="421"/>
      <c r="D6" s="421"/>
    </row>
    <row r="9" spans="2:6" ht="24">
      <c r="B9" s="194"/>
      <c r="C9" s="184" t="s">
        <v>219</v>
      </c>
      <c r="D9" s="195" t="s">
        <v>294</v>
      </c>
      <c r="E9" s="2"/>
    </row>
    <row r="10" spans="2:6">
      <c r="B10" s="94" t="s">
        <v>368</v>
      </c>
      <c r="C10" s="95"/>
      <c r="D10" s="95"/>
      <c r="E10" s="2"/>
    </row>
    <row r="11" spans="2:6">
      <c r="B11" s="96" t="s">
        <v>369</v>
      </c>
      <c r="C11" s="97">
        <f>+'Estado de Resultados'!C10+'Estado de Resultados'!C11+'Estado de Resultados'!C13+'Estado de Resultados'!C14+'Estado de Resultados'!C15+'Estado de Resultados'!C16+'Balance General'!D20-'Balance General'!C20</f>
        <v>742857276.0250001</v>
      </c>
      <c r="D11" s="97">
        <v>963669455</v>
      </c>
      <c r="E11" s="2"/>
    </row>
    <row r="12" spans="2:6">
      <c r="B12" s="96" t="s">
        <v>370</v>
      </c>
      <c r="C12" s="97">
        <f>-'Estado de Resultados'!C27-'Anexo 5s-5w'!C81-'Anexo 5s-5w'!C82-'Anexo 5s-5w'!C85+'Balance General'!G22-'Balance General'!F22+'Balance General'!F27</f>
        <v>-332806845</v>
      </c>
      <c r="D12" s="97">
        <v>-339682401</v>
      </c>
      <c r="E12" s="2"/>
    </row>
    <row r="13" spans="2:6">
      <c r="B13" s="96" t="s">
        <v>371</v>
      </c>
      <c r="C13" s="97">
        <f>+'Estado de Resultados'!C44</f>
        <v>250604037</v>
      </c>
      <c r="D13" s="97">
        <v>-369396706</v>
      </c>
      <c r="E13" s="2"/>
    </row>
    <row r="14" spans="2:6">
      <c r="B14" s="422" t="s">
        <v>372</v>
      </c>
      <c r="C14" s="423">
        <f>SUM(C11:C13)</f>
        <v>660654468.0250001</v>
      </c>
      <c r="D14" s="423">
        <f>SUM(D11:D13)</f>
        <v>254590348</v>
      </c>
      <c r="E14" s="2"/>
    </row>
    <row r="15" spans="2:6">
      <c r="B15" s="422"/>
      <c r="C15" s="423"/>
      <c r="D15" s="423"/>
      <c r="E15" s="2"/>
      <c r="F15" s="2"/>
    </row>
    <row r="16" spans="2:6">
      <c r="B16" s="98" t="s">
        <v>373</v>
      </c>
      <c r="C16" s="298"/>
      <c r="D16" s="298"/>
      <c r="E16" s="2"/>
    </row>
    <row r="17" spans="2:5">
      <c r="B17" s="96" t="s">
        <v>374</v>
      </c>
      <c r="C17" s="97">
        <v>0</v>
      </c>
      <c r="D17" s="97">
        <v>0</v>
      </c>
      <c r="E17" s="2"/>
    </row>
    <row r="18" spans="2:5">
      <c r="B18" s="98" t="s">
        <v>375</v>
      </c>
      <c r="C18" s="247"/>
      <c r="D18" s="247"/>
      <c r="E18" s="2"/>
    </row>
    <row r="19" spans="2:5">
      <c r="B19" s="96" t="s">
        <v>376</v>
      </c>
      <c r="C19" s="97">
        <f>+'Balance General'!G11-'Balance General'!F11-'Estado de Resultados'!C32+'Balance General'!D22-'Balance General'!C22</f>
        <v>-534018026.15199995</v>
      </c>
      <c r="D19" s="97">
        <v>-102205988</v>
      </c>
      <c r="E19" s="2"/>
    </row>
    <row r="20" spans="2:5">
      <c r="B20" s="98" t="s">
        <v>377</v>
      </c>
      <c r="C20" s="97"/>
      <c r="D20" s="97"/>
      <c r="E20" s="2"/>
    </row>
    <row r="21" spans="2:5">
      <c r="B21" s="96" t="s">
        <v>378</v>
      </c>
      <c r="C21" s="97">
        <f>-'Estado de Resultados'!C31-'Estado de Resultados'!C45-'Estado de Resultados'!C46</f>
        <v>-45533587</v>
      </c>
      <c r="D21" s="97">
        <v>-58970599.200000003</v>
      </c>
      <c r="E21" s="2"/>
    </row>
    <row r="22" spans="2:5">
      <c r="B22" s="98" t="s">
        <v>379</v>
      </c>
      <c r="C22" s="289">
        <f>SUM(C14:C21)</f>
        <v>81102854.873000145</v>
      </c>
      <c r="D22" s="289">
        <f>SUM(D14:D21)</f>
        <v>93413760.799999997</v>
      </c>
      <c r="E22" s="274"/>
    </row>
    <row r="23" spans="2:5">
      <c r="B23" s="94" t="s">
        <v>380</v>
      </c>
      <c r="C23" s="300"/>
      <c r="D23" s="300"/>
      <c r="E23" s="2"/>
    </row>
    <row r="24" spans="2:5">
      <c r="B24" s="96" t="s">
        <v>381</v>
      </c>
      <c r="C24" s="97">
        <v>0</v>
      </c>
      <c r="D24" s="97">
        <v>0</v>
      </c>
      <c r="E24" s="2"/>
    </row>
    <row r="25" spans="2:5">
      <c r="B25" s="96" t="s">
        <v>382</v>
      </c>
      <c r="C25" s="97">
        <f>+'Balance General'!D16-'Balance General'!C16</f>
        <v>-18798080</v>
      </c>
      <c r="D25" s="97">
        <v>35452651</v>
      </c>
      <c r="E25" s="2"/>
    </row>
    <row r="26" spans="2:5">
      <c r="B26" s="96" t="s">
        <v>383</v>
      </c>
      <c r="C26" s="97">
        <v>0</v>
      </c>
      <c r="D26" s="97">
        <v>0</v>
      </c>
      <c r="E26" s="2"/>
    </row>
    <row r="27" spans="2:5">
      <c r="B27" s="96" t="s">
        <v>384</v>
      </c>
      <c r="C27" s="97">
        <f>-'Anexo 5d-5h'!D116</f>
        <v>-19198817</v>
      </c>
      <c r="D27" s="97">
        <v>-17360623</v>
      </c>
      <c r="E27" s="2"/>
    </row>
    <row r="28" spans="2:5">
      <c r="B28" s="96" t="s">
        <v>385</v>
      </c>
      <c r="C28" s="97">
        <f>-'Anexo 5i-5m'!D8</f>
        <v>-33409089</v>
      </c>
      <c r="D28" s="97">
        <v>-54939392</v>
      </c>
      <c r="E28" s="2"/>
    </row>
    <row r="29" spans="2:5" ht="15.75" customHeight="1">
      <c r="B29" s="96" t="s">
        <v>386</v>
      </c>
      <c r="C29" s="97">
        <f>(+'Balance General'!D17-'Balance General'!C17)*-1</f>
        <v>-231443708</v>
      </c>
      <c r="D29" s="97">
        <v>-77756499</v>
      </c>
      <c r="E29" s="2"/>
    </row>
    <row r="30" spans="2:5">
      <c r="B30" s="96" t="s">
        <v>387</v>
      </c>
      <c r="C30" s="97">
        <f>+'Anexo 5x-5z'!C9</f>
        <v>23847293</v>
      </c>
      <c r="D30" s="97">
        <v>0</v>
      </c>
      <c r="E30" s="2"/>
    </row>
    <row r="31" spans="2:5">
      <c r="B31" s="96" t="s">
        <v>388</v>
      </c>
      <c r="C31" s="97">
        <v>0</v>
      </c>
      <c r="D31" s="97">
        <v>0</v>
      </c>
      <c r="E31" s="2"/>
    </row>
    <row r="32" spans="2:5">
      <c r="B32" s="98" t="s">
        <v>389</v>
      </c>
      <c r="C32" s="277">
        <f>SUM(C24:C31)</f>
        <v>-279002401</v>
      </c>
      <c r="D32" s="277">
        <f>SUM(D24:D31)</f>
        <v>-114603863</v>
      </c>
      <c r="E32" s="2"/>
    </row>
    <row r="33" spans="2:5">
      <c r="B33" s="94" t="s">
        <v>390</v>
      </c>
      <c r="C33" s="300"/>
      <c r="D33" s="300"/>
      <c r="E33" s="2"/>
    </row>
    <row r="34" spans="2:5">
      <c r="B34" s="96" t="s">
        <v>391</v>
      </c>
      <c r="C34" s="97">
        <f>+'Balance General'!F44-'Balance General'!G44+'Balance General'!F45-'Balance General'!G45+'Balance General'!F46-'Balance General'!G46</f>
        <v>109426435</v>
      </c>
      <c r="D34" s="97">
        <v>39580936.2000001</v>
      </c>
      <c r="E34" s="2"/>
    </row>
    <row r="35" spans="2:5">
      <c r="B35" s="96" t="s">
        <v>392</v>
      </c>
      <c r="C35" s="299">
        <v>-123844990</v>
      </c>
      <c r="D35" s="299">
        <v>351899926</v>
      </c>
      <c r="E35" s="2"/>
    </row>
    <row r="36" spans="2:5" ht="15" hidden="1" customHeight="1">
      <c r="B36" s="96" t="s">
        <v>393</v>
      </c>
      <c r="C36" s="97">
        <v>0</v>
      </c>
      <c r="D36" s="97">
        <v>0</v>
      </c>
      <c r="E36" s="2"/>
    </row>
    <row r="37" spans="2:5">
      <c r="B37" s="96" t="s">
        <v>394</v>
      </c>
      <c r="C37" s="299">
        <f>+'Estado de Resultados'!C42</f>
        <v>-12701645</v>
      </c>
      <c r="D37" s="299">
        <v>85943721</v>
      </c>
      <c r="E37" s="2"/>
    </row>
    <row r="38" spans="2:5">
      <c r="B38" s="96" t="s">
        <v>395</v>
      </c>
      <c r="C38" s="299">
        <f>-'Balance General'!G53+'Balance General'!F49-'Balance General'!G49</f>
        <v>-147041041</v>
      </c>
      <c r="D38" s="299">
        <v>-58560343</v>
      </c>
      <c r="E38" s="2"/>
    </row>
    <row r="39" spans="2:5">
      <c r="B39" s="98" t="s">
        <v>396</v>
      </c>
      <c r="C39" s="277">
        <f>SUM(C34:C38)</f>
        <v>-174161241</v>
      </c>
      <c r="D39" s="277">
        <f>SUM(D34:D38)</f>
        <v>418864240.20000011</v>
      </c>
      <c r="E39" s="2"/>
    </row>
    <row r="40" spans="2:5">
      <c r="B40" s="98" t="s">
        <v>397</v>
      </c>
      <c r="C40" s="277">
        <f>+'Estado de Resultados'!C43+'Estado de Resultados'!C40</f>
        <v>54033515</v>
      </c>
      <c r="D40" s="277">
        <v>-17091955</v>
      </c>
      <c r="E40" s="2"/>
    </row>
    <row r="41" spans="2:5">
      <c r="B41" s="98" t="s">
        <v>398</v>
      </c>
      <c r="C41" s="277">
        <f>+C22+C32+C39+C40</f>
        <v>-318027272.12699986</v>
      </c>
      <c r="D41" s="277">
        <f>+D22+D32+D39+D40</f>
        <v>380582183.00000012</v>
      </c>
      <c r="E41" s="2"/>
    </row>
    <row r="42" spans="2:5">
      <c r="B42" s="98" t="s">
        <v>399</v>
      </c>
      <c r="C42" s="277">
        <f>+D43</f>
        <v>666317467.00000012</v>
      </c>
      <c r="D42" s="277">
        <v>285735284</v>
      </c>
      <c r="E42" s="2"/>
    </row>
    <row r="43" spans="2:5">
      <c r="B43" s="98" t="s">
        <v>400</v>
      </c>
      <c r="C43" s="277">
        <f>+C41+C42</f>
        <v>348290194.87300026</v>
      </c>
      <c r="D43" s="277">
        <f>+D41+D42</f>
        <v>666317467.00000012</v>
      </c>
      <c r="E43" s="256"/>
    </row>
    <row r="44" spans="2:5">
      <c r="C44" s="12"/>
    </row>
    <row r="45" spans="2:5">
      <c r="B45" s="174" t="s">
        <v>292</v>
      </c>
      <c r="C45" s="175"/>
      <c r="D45" s="176"/>
      <c r="E45" s="173"/>
    </row>
    <row r="47" spans="2:5">
      <c r="C47" s="12"/>
      <c r="D47" s="12"/>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4:F41"/>
  <sheetViews>
    <sheetView showGridLines="0" topLeftCell="A31" zoomScale="102" zoomScaleNormal="102" workbookViewId="0">
      <selection activeCell="B40" sqref="B40"/>
    </sheetView>
  </sheetViews>
  <sheetFormatPr defaultColWidth="10.7109375" defaultRowHeight="15"/>
  <cols>
    <col min="1" max="1" width="5" style="99" customWidth="1"/>
    <col min="2" max="2" width="89.28515625" customWidth="1"/>
    <col min="4" max="4" width="15.42578125" customWidth="1"/>
  </cols>
  <sheetData>
    <row r="4" spans="1:2">
      <c r="A4"/>
      <c r="B4" s="192" t="s">
        <v>401</v>
      </c>
    </row>
    <row r="5" spans="1:2" ht="9.6" customHeight="1">
      <c r="A5"/>
    </row>
    <row r="6" spans="1:2">
      <c r="A6" s="193" t="s">
        <v>402</v>
      </c>
      <c r="B6" s="6" t="s">
        <v>403</v>
      </c>
    </row>
    <row r="7" spans="1:2">
      <c r="A7" s="7"/>
    </row>
    <row r="8" spans="1:2" ht="45">
      <c r="A8"/>
      <c r="B8" s="301" t="s">
        <v>404</v>
      </c>
    </row>
    <row r="9" spans="1:2" ht="5.0999999999999996" customHeight="1">
      <c r="A9"/>
      <c r="B9" s="7" t="s">
        <v>405</v>
      </c>
    </row>
    <row r="10" spans="1:2">
      <c r="A10"/>
    </row>
    <row r="11" spans="1:2">
      <c r="A11" s="193" t="s">
        <v>406</v>
      </c>
      <c r="B11" s="6" t="s">
        <v>407</v>
      </c>
    </row>
    <row r="12" spans="1:2">
      <c r="A12"/>
    </row>
    <row r="13" spans="1:2">
      <c r="A13"/>
      <c r="B13" s="193" t="s">
        <v>408</v>
      </c>
    </row>
    <row r="14" spans="1:2" ht="30">
      <c r="A14"/>
      <c r="B14" s="193" t="s">
        <v>409</v>
      </c>
    </row>
    <row r="15" spans="1:2" ht="90">
      <c r="A15"/>
      <c r="B15" s="7" t="s">
        <v>22</v>
      </c>
    </row>
    <row r="16" spans="1:2" ht="30">
      <c r="A16"/>
      <c r="B16" s="7" t="s">
        <v>23</v>
      </c>
    </row>
    <row r="17" spans="1:2" ht="90">
      <c r="A17"/>
      <c r="B17" s="7" t="s">
        <v>24</v>
      </c>
    </row>
    <row r="18" spans="1:2">
      <c r="A18"/>
    </row>
    <row r="19" spans="1:2">
      <c r="A19"/>
      <c r="B19" s="193" t="s">
        <v>410</v>
      </c>
    </row>
    <row r="20" spans="1:2">
      <c r="A20"/>
      <c r="B20" s="7" t="s">
        <v>411</v>
      </c>
    </row>
    <row r="21" spans="1:2" ht="47.85" customHeight="1">
      <c r="A21"/>
    </row>
    <row r="22" spans="1:2">
      <c r="A22"/>
    </row>
    <row r="23" spans="1:2">
      <c r="A23" s="193" t="s">
        <v>412</v>
      </c>
      <c r="B23" s="6" t="s">
        <v>413</v>
      </c>
    </row>
    <row r="24" spans="1:2" ht="45">
      <c r="A24"/>
      <c r="B24" s="7" t="s">
        <v>414</v>
      </c>
    </row>
    <row r="25" spans="1:2">
      <c r="A25"/>
    </row>
    <row r="26" spans="1:2" ht="120">
      <c r="A26"/>
      <c r="B26" s="7" t="s">
        <v>415</v>
      </c>
    </row>
    <row r="27" spans="1:2">
      <c r="A27"/>
    </row>
    <row r="28" spans="1:2" ht="30">
      <c r="A28"/>
      <c r="B28" s="7" t="s">
        <v>416</v>
      </c>
    </row>
    <row r="29" spans="1:2" ht="30">
      <c r="A29"/>
      <c r="B29" s="7" t="s">
        <v>417</v>
      </c>
    </row>
    <row r="30" spans="1:2">
      <c r="A30"/>
    </row>
    <row r="31" spans="1:2" ht="30">
      <c r="A31"/>
      <c r="B31" s="7" t="s">
        <v>418</v>
      </c>
    </row>
    <row r="32" spans="1:2">
      <c r="A32"/>
      <c r="B32" s="7"/>
    </row>
    <row r="33" spans="1:6" ht="90">
      <c r="A33"/>
      <c r="B33" s="7" t="s">
        <v>419</v>
      </c>
    </row>
    <row r="34" spans="1:6">
      <c r="A34"/>
    </row>
    <row r="35" spans="1:6">
      <c r="A35"/>
      <c r="B35" s="7" t="s">
        <v>420</v>
      </c>
    </row>
    <row r="36" spans="1:6">
      <c r="A36"/>
    </row>
    <row r="37" spans="1:6">
      <c r="A37" s="193" t="s">
        <v>421</v>
      </c>
      <c r="B37" s="6" t="s">
        <v>422</v>
      </c>
    </row>
    <row r="38" spans="1:6">
      <c r="A38"/>
      <c r="B38" s="7"/>
    </row>
    <row r="40" spans="1:6">
      <c r="B40" s="4"/>
      <c r="C40" s="50"/>
      <c r="D40" s="416"/>
      <c r="E40" s="416"/>
      <c r="F40" s="416"/>
    </row>
    <row r="41" spans="1:6">
      <c r="B41" s="4"/>
      <c r="C41" s="50"/>
      <c r="D41" s="416"/>
      <c r="E41" s="416"/>
      <c r="F41" s="416"/>
    </row>
  </sheetData>
  <mergeCells count="2">
    <mergeCell ref="D40:F40"/>
    <mergeCell ref="D41:F41"/>
  </mergeCells>
  <pageMargins left="0.70866141732283472" right="0.70866141732283472" top="1.3385826771653544" bottom="0.74803149606299213"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4:J45"/>
  <sheetViews>
    <sheetView showGridLines="0" topLeftCell="B31" zoomScale="137" zoomScaleNormal="102" workbookViewId="0">
      <selection activeCell="D38" sqref="D38"/>
    </sheetView>
  </sheetViews>
  <sheetFormatPr defaultColWidth="10.7109375" defaultRowHeight="15"/>
  <cols>
    <col min="1" max="1" width="7" customWidth="1"/>
    <col min="2" max="2" width="37.42578125" bestFit="1" customWidth="1"/>
    <col min="3" max="3" width="17.28515625" customWidth="1"/>
    <col min="4" max="4" width="19.42578125" customWidth="1"/>
    <col min="5" max="5" width="15" customWidth="1"/>
    <col min="6" max="6" width="14" customWidth="1"/>
    <col min="9" max="9" width="16.42578125" customWidth="1"/>
    <col min="10" max="10" width="11.7109375" bestFit="1" customWidth="1"/>
  </cols>
  <sheetData>
    <row r="4" spans="1:5">
      <c r="A4" s="156" t="s">
        <v>423</v>
      </c>
      <c r="B4" s="157" t="s">
        <v>424</v>
      </c>
      <c r="C4" s="158"/>
      <c r="D4" s="158"/>
      <c r="E4" s="158"/>
    </row>
    <row r="5" spans="1:5">
      <c r="B5" s="157" t="s">
        <v>425</v>
      </c>
      <c r="C5" s="158"/>
      <c r="D5" s="158"/>
      <c r="E5" s="158"/>
    </row>
    <row r="6" spans="1:5" ht="37.5" customHeight="1">
      <c r="B6" s="424" t="s">
        <v>426</v>
      </c>
      <c r="C6" s="424"/>
      <c r="D6" s="424"/>
      <c r="E6" s="424"/>
    </row>
    <row r="8" spans="1:5">
      <c r="B8" s="425"/>
      <c r="C8" s="183" t="s">
        <v>427</v>
      </c>
      <c r="D8" s="183" t="s">
        <v>428</v>
      </c>
    </row>
    <row r="9" spans="1:5" ht="12.6" customHeight="1">
      <c r="B9" s="425"/>
      <c r="C9" s="183" t="s">
        <v>429</v>
      </c>
      <c r="D9" s="183" t="s">
        <v>430</v>
      </c>
    </row>
    <row r="10" spans="1:5">
      <c r="B10" s="56" t="s">
        <v>431</v>
      </c>
      <c r="C10" s="83">
        <v>7322.9</v>
      </c>
      <c r="D10" s="83">
        <v>6870.81</v>
      </c>
    </row>
    <row r="11" spans="1:5">
      <c r="B11" s="56" t="s">
        <v>432</v>
      </c>
      <c r="C11" s="83">
        <v>7339.62</v>
      </c>
      <c r="D11" s="83">
        <v>6887.4</v>
      </c>
    </row>
    <row r="13" spans="1:5">
      <c r="B13" s="157" t="s">
        <v>433</v>
      </c>
    </row>
    <row r="14" spans="1:5">
      <c r="B14" s="158"/>
    </row>
    <row r="15" spans="1:5">
      <c r="B15" s="431" t="s">
        <v>434</v>
      </c>
      <c r="C15" s="431"/>
    </row>
    <row r="17" spans="2:10" ht="15" customHeight="1">
      <c r="B17" s="427" t="s">
        <v>435</v>
      </c>
      <c r="C17" s="427" t="s">
        <v>436</v>
      </c>
      <c r="D17" s="427" t="s">
        <v>437</v>
      </c>
      <c r="E17" s="426" t="s">
        <v>438</v>
      </c>
      <c r="F17" s="426" t="s">
        <v>439</v>
      </c>
      <c r="G17" s="426" t="s">
        <v>440</v>
      </c>
      <c r="H17" s="426" t="s">
        <v>441</v>
      </c>
      <c r="I17" s="426" t="s">
        <v>442</v>
      </c>
    </row>
    <row r="18" spans="2:10">
      <c r="B18" s="428"/>
      <c r="C18" s="428"/>
      <c r="D18" s="428"/>
      <c r="E18" s="426"/>
      <c r="F18" s="426"/>
      <c r="G18" s="426"/>
      <c r="H18" s="426"/>
      <c r="I18" s="426"/>
    </row>
    <row r="19" spans="2:10">
      <c r="B19" s="429"/>
      <c r="C19" s="429"/>
      <c r="D19" s="429"/>
      <c r="E19" s="426"/>
      <c r="F19" s="426"/>
      <c r="G19" s="426"/>
      <c r="H19" s="426"/>
      <c r="I19" s="426"/>
    </row>
    <row r="20" spans="2:10">
      <c r="B20" s="85" t="s">
        <v>443</v>
      </c>
      <c r="C20" s="86"/>
      <c r="D20" s="120"/>
      <c r="E20" s="86"/>
      <c r="F20" s="86"/>
      <c r="G20" s="86"/>
      <c r="H20" s="86"/>
      <c r="I20" s="86"/>
    </row>
    <row r="21" spans="2:10">
      <c r="B21" s="87" t="s">
        <v>444</v>
      </c>
      <c r="C21" s="86"/>
      <c r="D21" s="120"/>
      <c r="E21" s="86"/>
      <c r="F21" s="86"/>
      <c r="G21" s="86"/>
      <c r="H21" s="86"/>
      <c r="I21" s="86"/>
    </row>
    <row r="22" spans="2:10">
      <c r="B22" s="88" t="s">
        <v>445</v>
      </c>
      <c r="C22" s="89" t="s">
        <v>446</v>
      </c>
      <c r="D22" s="84">
        <v>5207.5200000000004</v>
      </c>
      <c r="E22" s="84">
        <f t="shared" ref="E22:E29" si="0">+$C$10</f>
        <v>7322.9</v>
      </c>
      <c r="F22" s="90">
        <f t="shared" ref="F22:F28" si="1">+D22*E22</f>
        <v>38134148.208000004</v>
      </c>
      <c r="G22" s="84">
        <v>629.32000000000005</v>
      </c>
      <c r="H22" s="84">
        <v>6870.81</v>
      </c>
      <c r="I22" s="90">
        <v>4323938.1492000008</v>
      </c>
      <c r="J22" s="12"/>
    </row>
    <row r="23" spans="2:10">
      <c r="B23" s="119" t="s">
        <v>447</v>
      </c>
      <c r="C23" s="89" t="s">
        <v>446</v>
      </c>
      <c r="D23" s="84">
        <v>0</v>
      </c>
      <c r="E23" s="84">
        <f t="shared" si="0"/>
        <v>7322.9</v>
      </c>
      <c r="F23" s="90">
        <f t="shared" si="1"/>
        <v>0</v>
      </c>
      <c r="G23" s="84">
        <v>100</v>
      </c>
      <c r="H23" s="84">
        <v>6870.81</v>
      </c>
      <c r="I23" s="90">
        <v>687081</v>
      </c>
      <c r="J23" s="12"/>
    </row>
    <row r="24" spans="2:10">
      <c r="B24" s="119" t="s">
        <v>448</v>
      </c>
      <c r="C24" s="89" t="s">
        <v>446</v>
      </c>
      <c r="D24" s="84">
        <v>612.75</v>
      </c>
      <c r="E24" s="84">
        <f t="shared" si="0"/>
        <v>7322.9</v>
      </c>
      <c r="F24" s="90">
        <f t="shared" ref="F24" si="2">+D24*E24</f>
        <v>4487106.9749999996</v>
      </c>
      <c r="G24" s="84"/>
      <c r="H24" s="84"/>
      <c r="I24" s="90"/>
      <c r="J24" s="12"/>
    </row>
    <row r="25" spans="2:10">
      <c r="B25" s="88" t="s">
        <v>449</v>
      </c>
      <c r="C25" s="89" t="s">
        <v>446</v>
      </c>
      <c r="D25" s="84">
        <v>7968.17</v>
      </c>
      <c r="E25" s="84">
        <f t="shared" si="0"/>
        <v>7322.9</v>
      </c>
      <c r="F25" s="90">
        <f t="shared" si="1"/>
        <v>58350112.092999995</v>
      </c>
      <c r="G25" s="84">
        <v>32671.21</v>
      </c>
      <c r="H25" s="84">
        <v>6870.81</v>
      </c>
      <c r="I25" s="90">
        <v>224477676.38010001</v>
      </c>
    </row>
    <row r="26" spans="2:10">
      <c r="B26" s="88" t="s">
        <v>450</v>
      </c>
      <c r="C26" s="89" t="s">
        <v>446</v>
      </c>
      <c r="D26" s="84">
        <v>62000</v>
      </c>
      <c r="E26" s="84">
        <f t="shared" si="0"/>
        <v>7322.9</v>
      </c>
      <c r="F26" s="90">
        <f t="shared" si="1"/>
        <v>454019800</v>
      </c>
      <c r="G26" s="84">
        <v>73000</v>
      </c>
      <c r="H26" s="84">
        <v>6870.81</v>
      </c>
      <c r="I26" s="90">
        <v>501569130</v>
      </c>
    </row>
    <row r="27" spans="2:10">
      <c r="B27" s="88" t="s">
        <v>451</v>
      </c>
      <c r="C27" s="89" t="s">
        <v>446</v>
      </c>
      <c r="D27" s="84">
        <v>3068.95</v>
      </c>
      <c r="E27" s="84">
        <f t="shared" si="0"/>
        <v>7322.9</v>
      </c>
      <c r="F27" s="90">
        <f t="shared" si="1"/>
        <v>22473613.954999998</v>
      </c>
      <c r="G27" s="84">
        <v>31941</v>
      </c>
      <c r="H27" s="84">
        <v>6870.81</v>
      </c>
      <c r="I27" s="90">
        <v>219460542.21000001</v>
      </c>
    </row>
    <row r="28" spans="2:10">
      <c r="B28" s="88" t="s">
        <v>452</v>
      </c>
      <c r="C28" s="89" t="s">
        <v>446</v>
      </c>
      <c r="D28" s="84">
        <v>0</v>
      </c>
      <c r="E28" s="84">
        <f t="shared" si="0"/>
        <v>7322.9</v>
      </c>
      <c r="F28" s="90">
        <f t="shared" si="1"/>
        <v>0</v>
      </c>
      <c r="G28" s="84">
        <v>-31797</v>
      </c>
      <c r="H28" s="84">
        <v>6870.81</v>
      </c>
      <c r="I28" s="90">
        <v>-218471145.57000002</v>
      </c>
    </row>
    <row r="29" spans="2:10">
      <c r="B29" s="88" t="s">
        <v>453</v>
      </c>
      <c r="C29" s="89" t="s">
        <v>446</v>
      </c>
      <c r="D29" s="84">
        <v>490.62</v>
      </c>
      <c r="E29" s="84">
        <f t="shared" si="0"/>
        <v>7322.9</v>
      </c>
      <c r="F29" s="90">
        <f t="shared" ref="F29" si="3">+D29*E29</f>
        <v>3592761.1979999999</v>
      </c>
      <c r="G29" s="84"/>
      <c r="H29" s="84"/>
      <c r="I29" s="90"/>
    </row>
    <row r="30" spans="2:10">
      <c r="B30" s="87" t="s">
        <v>454</v>
      </c>
      <c r="C30" s="89"/>
      <c r="D30" s="84"/>
      <c r="E30" s="84"/>
      <c r="F30" s="90"/>
      <c r="G30" s="84"/>
      <c r="H30" s="84"/>
      <c r="I30" s="90"/>
    </row>
    <row r="31" spans="2:10">
      <c r="B31" s="88" t="s">
        <v>455</v>
      </c>
      <c r="C31" s="89" t="s">
        <v>446</v>
      </c>
      <c r="D31" s="84">
        <v>2439.1</v>
      </c>
      <c r="E31" s="84">
        <f>+C11</f>
        <v>7339.62</v>
      </c>
      <c r="F31" s="90">
        <f>+D31*E31</f>
        <v>17902067.142000001</v>
      </c>
      <c r="G31" s="84">
        <v>0</v>
      </c>
      <c r="H31" s="84">
        <v>0</v>
      </c>
      <c r="I31" s="90">
        <v>0</v>
      </c>
    </row>
    <row r="32" spans="2:10">
      <c r="B32" s="88"/>
      <c r="C32" s="89"/>
      <c r="D32" s="84"/>
      <c r="E32" s="84"/>
      <c r="F32" s="90"/>
      <c r="G32" s="84"/>
      <c r="H32" s="84"/>
      <c r="I32" s="90"/>
    </row>
    <row r="34" spans="2:6">
      <c r="B34" s="430" t="s">
        <v>456</v>
      </c>
      <c r="C34" s="430"/>
    </row>
    <row r="36" spans="2:6" ht="33.75">
      <c r="B36" s="191" t="s">
        <v>457</v>
      </c>
      <c r="C36" s="191" t="s">
        <v>458</v>
      </c>
      <c r="D36" s="191" t="s">
        <v>459</v>
      </c>
      <c r="E36" s="191" t="s">
        <v>460</v>
      </c>
      <c r="F36" s="191" t="s">
        <v>461</v>
      </c>
    </row>
    <row r="37" spans="2:6" ht="22.5">
      <c r="B37" s="249" t="s">
        <v>462</v>
      </c>
      <c r="C37" s="128">
        <f>+C10</f>
        <v>7322.9</v>
      </c>
      <c r="D37" s="129">
        <v>80926485</v>
      </c>
      <c r="E37" s="130">
        <f>+D10</f>
        <v>6870.81</v>
      </c>
      <c r="F37" s="248">
        <v>27556279.880000006</v>
      </c>
    </row>
    <row r="38" spans="2:6" ht="22.5">
      <c r="B38" s="249" t="s">
        <v>463</v>
      </c>
      <c r="C38" s="128">
        <f>+C10</f>
        <v>7322.9</v>
      </c>
      <c r="D38" s="129">
        <v>-26892970</v>
      </c>
      <c r="E38" s="140">
        <f>+D11</f>
        <v>6887.4</v>
      </c>
      <c r="F38" s="248">
        <v>-17091955</v>
      </c>
    </row>
    <row r="39" spans="2:6">
      <c r="B39" s="91"/>
      <c r="C39" s="84"/>
      <c r="D39" s="90"/>
      <c r="E39" s="92"/>
      <c r="F39" s="93"/>
    </row>
    <row r="40" spans="2:6">
      <c r="B40" s="91"/>
      <c r="C40" s="84"/>
      <c r="D40" s="90"/>
      <c r="E40" s="92"/>
      <c r="F40" s="93"/>
    </row>
    <row r="41" spans="2:6">
      <c r="B41" s="8"/>
      <c r="C41" s="9"/>
      <c r="D41" s="10"/>
      <c r="E41" s="9"/>
      <c r="F41" s="10"/>
    </row>
    <row r="42" spans="2:6">
      <c r="B42" s="8"/>
      <c r="C42" s="9"/>
      <c r="D42" s="10"/>
      <c r="E42" s="9"/>
      <c r="F42" s="10"/>
    </row>
    <row r="43" spans="2:6">
      <c r="B43" s="8"/>
      <c r="C43" s="9"/>
      <c r="D43" s="10"/>
      <c r="E43" s="9"/>
      <c r="F43" s="10"/>
    </row>
    <row r="44" spans="2:6">
      <c r="B44" s="8"/>
      <c r="C44" s="9"/>
      <c r="D44" s="10"/>
      <c r="E44" s="9"/>
      <c r="F44" s="10"/>
    </row>
    <row r="45" spans="2:6">
      <c r="B45" s="8"/>
      <c r="C45" s="9"/>
      <c r="D45" s="10"/>
      <c r="E45" s="9"/>
      <c r="F45" s="10"/>
    </row>
  </sheetData>
  <mergeCells count="12">
    <mergeCell ref="B34:C34"/>
    <mergeCell ref="B15:C15"/>
    <mergeCell ref="I17:I19"/>
    <mergeCell ref="H17:H19"/>
    <mergeCell ref="G17:G19"/>
    <mergeCell ref="B6:E6"/>
    <mergeCell ref="B8:B9"/>
    <mergeCell ref="E17:E19"/>
    <mergeCell ref="F17:F19"/>
    <mergeCell ref="C17:C19"/>
    <mergeCell ref="D17:D19"/>
    <mergeCell ref="B17:B19"/>
  </mergeCells>
  <pageMargins left="0.70866141732283472" right="0.70866141732283472" top="1.1417322834645669" bottom="0.74803149606299213" header="0.31496062992125984" footer="0.31496062992125984"/>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B3:O128"/>
  <sheetViews>
    <sheetView showGridLines="0" topLeftCell="A89" zoomScaleNormal="100" workbookViewId="0">
      <selection activeCell="C103" sqref="C103"/>
    </sheetView>
  </sheetViews>
  <sheetFormatPr defaultColWidth="10.7109375" defaultRowHeight="15"/>
  <cols>
    <col min="1" max="1" width="4.28515625" customWidth="1"/>
    <col min="2" max="2" width="53.7109375" customWidth="1"/>
    <col min="3" max="3" width="18.28515625" customWidth="1"/>
    <col min="4" max="4" width="21.28515625" bestFit="1" customWidth="1"/>
    <col min="5" max="5" width="23" bestFit="1" customWidth="1"/>
    <col min="6" max="6" width="14" customWidth="1"/>
    <col min="7" max="7" width="13.28515625" bestFit="1" customWidth="1"/>
    <col min="8" max="8" width="15.42578125" customWidth="1"/>
    <col min="9" max="9" width="13.28515625" bestFit="1" customWidth="1"/>
    <col min="12" max="12" width="11.28515625" bestFit="1" customWidth="1"/>
  </cols>
  <sheetData>
    <row r="3" spans="2:5" ht="20.85" customHeight="1">
      <c r="B3" s="157" t="s">
        <v>464</v>
      </c>
      <c r="C3" s="158"/>
      <c r="D3" s="158"/>
      <c r="E3" s="158"/>
    </row>
    <row r="4" spans="2:5">
      <c r="B4" s="438" t="s">
        <v>465</v>
      </c>
      <c r="C4" s="438"/>
      <c r="D4" s="438"/>
      <c r="E4" s="438"/>
    </row>
    <row r="6" spans="2:5">
      <c r="B6" s="440" t="s">
        <v>466</v>
      </c>
      <c r="C6" s="440" t="s">
        <v>467</v>
      </c>
      <c r="D6" s="432" t="s">
        <v>468</v>
      </c>
    </row>
    <row r="7" spans="2:5">
      <c r="B7" s="440"/>
      <c r="C7" s="440"/>
      <c r="D7" s="432"/>
    </row>
    <row r="8" spans="2:5">
      <c r="B8" s="43" t="s">
        <v>227</v>
      </c>
      <c r="C8" s="44">
        <v>0</v>
      </c>
      <c r="D8" s="44">
        <v>0</v>
      </c>
    </row>
    <row r="9" spans="2:5">
      <c r="B9" s="43" t="s">
        <v>469</v>
      </c>
      <c r="C9" s="44">
        <v>44047320</v>
      </c>
      <c r="D9" s="44">
        <v>5823222</v>
      </c>
    </row>
    <row r="10" spans="2:5">
      <c r="B10" s="43" t="s">
        <v>445</v>
      </c>
      <c r="C10" s="44">
        <v>38134148</v>
      </c>
      <c r="D10" s="44">
        <v>4323938.1099977493</v>
      </c>
    </row>
    <row r="11" spans="2:5">
      <c r="B11" s="43" t="s">
        <v>470</v>
      </c>
      <c r="C11" s="44">
        <v>200669</v>
      </c>
      <c r="D11" s="44">
        <v>0</v>
      </c>
    </row>
    <row r="12" spans="2:5">
      <c r="B12" s="43" t="s">
        <v>448</v>
      </c>
      <c r="C12" s="44">
        <v>4487107</v>
      </c>
      <c r="D12" s="44">
        <v>0</v>
      </c>
    </row>
    <row r="13" spans="2:5">
      <c r="B13" s="43" t="s">
        <v>471</v>
      </c>
      <c r="C13" s="44">
        <v>183864841</v>
      </c>
      <c r="D13" s="44">
        <v>383562699</v>
      </c>
    </row>
    <row r="14" spans="2:5">
      <c r="B14" s="43" t="s">
        <v>472</v>
      </c>
      <c r="C14" s="44">
        <v>2053377</v>
      </c>
      <c r="D14" s="44">
        <v>0</v>
      </c>
    </row>
    <row r="15" spans="2:5">
      <c r="B15" s="43" t="s">
        <v>473</v>
      </c>
      <c r="C15" s="44">
        <v>0</v>
      </c>
      <c r="D15" s="44">
        <v>200166</v>
      </c>
    </row>
    <row r="16" spans="2:5">
      <c r="B16" s="43" t="s">
        <v>447</v>
      </c>
      <c r="C16" s="44">
        <v>0</v>
      </c>
      <c r="D16" s="44">
        <v>687356</v>
      </c>
    </row>
    <row r="17" spans="2:9">
      <c r="B17" s="43" t="s">
        <v>474</v>
      </c>
      <c r="C17" s="44">
        <v>514445</v>
      </c>
      <c r="D17" s="44">
        <v>513423</v>
      </c>
    </row>
    <row r="18" spans="2:9">
      <c r="B18" s="43" t="s">
        <v>475</v>
      </c>
      <c r="C18" s="44">
        <v>3644830</v>
      </c>
      <c r="D18" s="44">
        <v>29546672</v>
      </c>
    </row>
    <row r="19" spans="2:9">
      <c r="B19" s="43" t="s">
        <v>476</v>
      </c>
      <c r="C19" s="44">
        <v>9699722</v>
      </c>
      <c r="D19" s="44">
        <v>9699722</v>
      </c>
    </row>
    <row r="20" spans="2:9">
      <c r="B20" s="43" t="s">
        <v>449</v>
      </c>
      <c r="C20" s="44">
        <v>58350114</v>
      </c>
      <c r="D20" s="44">
        <v>224477676</v>
      </c>
    </row>
    <row r="21" spans="2:9">
      <c r="B21" s="43" t="s">
        <v>477</v>
      </c>
      <c r="C21" s="44">
        <v>3293622</v>
      </c>
      <c r="D21" s="44">
        <v>6839610</v>
      </c>
    </row>
    <row r="22" spans="2:9">
      <c r="B22" s="43" t="s">
        <v>478</v>
      </c>
      <c r="C22" s="44"/>
      <c r="D22" s="44">
        <v>642983</v>
      </c>
    </row>
    <row r="23" spans="2:9">
      <c r="B23" s="45" t="s">
        <v>479</v>
      </c>
      <c r="C23" s="46">
        <f>SUM(C8:C22)</f>
        <v>348290195</v>
      </c>
      <c r="D23" s="46">
        <f>SUM(D8:D22)</f>
        <v>666317467.10999775</v>
      </c>
    </row>
    <row r="25" spans="2:9">
      <c r="B25" s="157" t="s">
        <v>480</v>
      </c>
      <c r="C25" s="158"/>
      <c r="D25" s="158"/>
    </row>
    <row r="26" spans="2:9">
      <c r="B26" s="438" t="s">
        <v>481</v>
      </c>
      <c r="C26" s="438"/>
      <c r="D26" s="438"/>
    </row>
    <row r="28" spans="2:9">
      <c r="B28" s="417" t="s">
        <v>482</v>
      </c>
      <c r="C28" s="417"/>
      <c r="D28" s="417"/>
      <c r="E28" s="417"/>
      <c r="F28" s="417"/>
      <c r="G28" s="417" t="s">
        <v>483</v>
      </c>
      <c r="H28" s="417"/>
      <c r="I28" s="417"/>
    </row>
    <row r="29" spans="2:9" ht="18" customHeight="1">
      <c r="B29" s="101"/>
      <c r="C29" s="101" t="s">
        <v>484</v>
      </c>
      <c r="D29" s="435" t="s">
        <v>485</v>
      </c>
      <c r="E29" s="435" t="s">
        <v>486</v>
      </c>
      <c r="F29" s="101" t="s">
        <v>487</v>
      </c>
      <c r="G29" s="101"/>
      <c r="H29" s="101"/>
      <c r="I29" s="101" t="s">
        <v>488</v>
      </c>
    </row>
    <row r="30" spans="2:9">
      <c r="B30" s="101" t="s">
        <v>489</v>
      </c>
      <c r="C30" s="101" t="s">
        <v>490</v>
      </c>
      <c r="D30" s="435"/>
      <c r="E30" s="435"/>
      <c r="F30" s="101" t="s">
        <v>491</v>
      </c>
      <c r="G30" s="101" t="s">
        <v>338</v>
      </c>
      <c r="H30" s="101" t="s">
        <v>492</v>
      </c>
      <c r="I30" s="101" t="s">
        <v>493</v>
      </c>
    </row>
    <row r="31" spans="2:9">
      <c r="B31" s="102" t="s">
        <v>494</v>
      </c>
      <c r="C31" s="103"/>
      <c r="D31" s="104"/>
      <c r="E31" s="105"/>
      <c r="F31" s="105"/>
      <c r="G31" s="104"/>
      <c r="H31" s="104"/>
      <c r="I31" s="104"/>
    </row>
    <row r="32" spans="2:9">
      <c r="B32" s="65" t="s">
        <v>495</v>
      </c>
      <c r="C32" s="72" t="s">
        <v>496</v>
      </c>
      <c r="D32" s="72">
        <v>1</v>
      </c>
      <c r="E32" s="57">
        <v>200000000</v>
      </c>
      <c r="F32" s="57">
        <v>1002000000</v>
      </c>
      <c r="G32" s="118">
        <v>9700000000</v>
      </c>
      <c r="H32" s="118">
        <v>0</v>
      </c>
      <c r="I32" s="118">
        <v>0</v>
      </c>
    </row>
    <row r="33" spans="2:9">
      <c r="B33" s="65"/>
      <c r="C33" s="72"/>
      <c r="D33" s="72"/>
      <c r="E33" s="58"/>
      <c r="F33" s="57"/>
      <c r="G33" s="72"/>
      <c r="H33" s="72"/>
      <c r="I33" s="72"/>
    </row>
    <row r="34" spans="2:9">
      <c r="B34" s="436" t="s">
        <v>497</v>
      </c>
      <c r="C34" s="436"/>
      <c r="D34" s="436"/>
      <c r="E34" s="190">
        <v>0</v>
      </c>
      <c r="F34" s="190">
        <f>SUM(F32:F33)</f>
        <v>1002000000</v>
      </c>
      <c r="G34" s="72"/>
      <c r="H34" s="72"/>
      <c r="I34" s="72"/>
    </row>
    <row r="35" spans="2:9">
      <c r="B35" s="437" t="s">
        <v>498</v>
      </c>
      <c r="C35" s="437"/>
      <c r="D35" s="437"/>
      <c r="E35" s="60">
        <v>0</v>
      </c>
      <c r="F35" s="73">
        <v>0</v>
      </c>
      <c r="G35" s="72"/>
      <c r="H35" s="72"/>
      <c r="I35" s="72"/>
    </row>
    <row r="37" spans="2:9">
      <c r="B37" s="157" t="s">
        <v>499</v>
      </c>
      <c r="C37" s="158"/>
      <c r="D37" s="158"/>
      <c r="E37" s="158"/>
      <c r="F37" s="158"/>
    </row>
    <row r="38" spans="2:9" ht="47.25" customHeight="1">
      <c r="B38" s="424" t="s">
        <v>500</v>
      </c>
      <c r="C38" s="424"/>
      <c r="D38" s="424"/>
      <c r="E38" s="424"/>
      <c r="F38" s="424"/>
      <c r="G38" s="37"/>
    </row>
    <row r="39" spans="2:9" ht="27" customHeight="1">
      <c r="B39" s="183" t="s">
        <v>196</v>
      </c>
      <c r="C39" s="183" t="s">
        <v>501</v>
      </c>
      <c r="D39" s="183" t="s">
        <v>502</v>
      </c>
      <c r="E39" s="183" t="s">
        <v>503</v>
      </c>
    </row>
    <row r="40" spans="2:9">
      <c r="B40" s="56" t="s">
        <v>504</v>
      </c>
      <c r="C40" s="74">
        <v>200000000</v>
      </c>
      <c r="D40" s="74">
        <v>1002000000</v>
      </c>
      <c r="E40" s="74">
        <v>1002000000</v>
      </c>
    </row>
    <row r="41" spans="2:9">
      <c r="B41" s="56" t="s">
        <v>505</v>
      </c>
      <c r="C41" s="74">
        <v>200000000</v>
      </c>
      <c r="D41" s="74">
        <v>516375371</v>
      </c>
      <c r="E41" s="74">
        <v>900000000</v>
      </c>
    </row>
    <row r="43" spans="2:9">
      <c r="B43" s="157" t="s">
        <v>506</v>
      </c>
      <c r="C43" s="158"/>
      <c r="D43" s="158"/>
      <c r="E43" s="158"/>
      <c r="F43" s="158"/>
    </row>
    <row r="44" spans="2:9">
      <c r="B44" s="438" t="s">
        <v>481</v>
      </c>
      <c r="C44" s="438"/>
      <c r="D44" s="438"/>
      <c r="E44" s="438"/>
      <c r="F44" s="438"/>
    </row>
    <row r="45" spans="2:9">
      <c r="B45" s="159"/>
      <c r="C45" s="158"/>
      <c r="D45" s="158"/>
      <c r="E45" s="158"/>
      <c r="F45" s="158"/>
    </row>
    <row r="46" spans="2:9">
      <c r="B46" s="439" t="s">
        <v>507</v>
      </c>
      <c r="C46" s="439"/>
      <c r="D46" s="158"/>
      <c r="E46" s="158"/>
      <c r="F46" s="158"/>
    </row>
    <row r="47" spans="2:9">
      <c r="B47" s="433" t="s">
        <v>457</v>
      </c>
      <c r="C47" s="433" t="s">
        <v>467</v>
      </c>
      <c r="D47" s="433" t="s">
        <v>508</v>
      </c>
    </row>
    <row r="48" spans="2:9" ht="6.6" customHeight="1">
      <c r="B48" s="433"/>
      <c r="C48" s="433"/>
      <c r="D48" s="433"/>
    </row>
    <row r="49" spans="2:7">
      <c r="B49" s="62" t="s">
        <v>509</v>
      </c>
      <c r="C49" s="75">
        <v>0</v>
      </c>
      <c r="D49" s="75">
        <v>0</v>
      </c>
    </row>
    <row r="50" spans="2:7">
      <c r="B50" s="62" t="s">
        <v>510</v>
      </c>
      <c r="C50" s="75">
        <v>0</v>
      </c>
      <c r="D50" s="75">
        <v>0</v>
      </c>
    </row>
    <row r="51" spans="2:7">
      <c r="B51" s="64" t="s">
        <v>200</v>
      </c>
      <c r="C51" s="76">
        <f>+C50+C49</f>
        <v>0</v>
      </c>
      <c r="D51" s="76">
        <v>0</v>
      </c>
    </row>
    <row r="53" spans="2:7">
      <c r="B53" s="157" t="s">
        <v>511</v>
      </c>
    </row>
    <row r="54" spans="2:7">
      <c r="B54" s="434" t="s">
        <v>512</v>
      </c>
      <c r="C54" s="434" t="s">
        <v>467</v>
      </c>
      <c r="D54" s="434" t="s">
        <v>508</v>
      </c>
    </row>
    <row r="55" spans="2:7">
      <c r="B55" s="434"/>
      <c r="C55" s="434"/>
      <c r="D55" s="434"/>
    </row>
    <row r="56" spans="2:7" ht="15.75">
      <c r="B56" s="77" t="s">
        <v>513</v>
      </c>
      <c r="C56" s="78">
        <v>66661072</v>
      </c>
      <c r="D56" s="79">
        <v>75166750</v>
      </c>
      <c r="E56" s="290"/>
      <c r="G56" s="13"/>
    </row>
    <row r="57" spans="2:7" ht="15.75">
      <c r="B57" s="77" t="s">
        <v>514</v>
      </c>
      <c r="C57" s="78"/>
      <c r="D57" s="79"/>
      <c r="E57" s="291"/>
      <c r="G57" s="13"/>
    </row>
    <row r="58" spans="2:7" ht="15.75">
      <c r="B58" s="80" t="s">
        <v>200</v>
      </c>
      <c r="C58" s="81">
        <f>SUM(C56:C57)</f>
        <v>66661072</v>
      </c>
      <c r="D58" s="81">
        <v>75166750</v>
      </c>
      <c r="E58" s="292"/>
      <c r="G58" s="14"/>
    </row>
    <row r="59" spans="2:7" ht="15.75">
      <c r="B59" s="275"/>
      <c r="C59" s="276"/>
      <c r="D59" s="276"/>
      <c r="E59" s="292"/>
      <c r="G59" s="14"/>
    </row>
    <row r="60" spans="2:7" ht="15.75">
      <c r="B60" s="275"/>
      <c r="C60" s="276"/>
      <c r="D60" s="276"/>
      <c r="E60" s="292"/>
      <c r="G60" s="14"/>
    </row>
    <row r="61" spans="2:7">
      <c r="B61" s="157" t="s">
        <v>515</v>
      </c>
      <c r="E61" s="293"/>
    </row>
    <row r="62" spans="2:7">
      <c r="B62" s="434" t="s">
        <v>512</v>
      </c>
      <c r="C62" s="434" t="s">
        <v>467</v>
      </c>
      <c r="D62" s="434" t="s">
        <v>508</v>
      </c>
      <c r="E62" s="293"/>
    </row>
    <row r="63" spans="2:7">
      <c r="B63" s="434"/>
      <c r="C63" s="434"/>
      <c r="D63" s="434"/>
      <c r="E63" s="293"/>
    </row>
    <row r="64" spans="2:7" ht="15.75">
      <c r="B64" s="77" t="s">
        <v>516</v>
      </c>
      <c r="C64" s="78">
        <v>48331140</v>
      </c>
      <c r="D64" s="79"/>
      <c r="E64" s="290"/>
      <c r="G64" s="13"/>
    </row>
    <row r="65" spans="2:7" ht="15.75">
      <c r="B65" s="77" t="s">
        <v>517</v>
      </c>
      <c r="C65" s="78">
        <v>1036242</v>
      </c>
      <c r="D65" s="79"/>
      <c r="E65" s="290"/>
      <c r="G65" s="13"/>
    </row>
    <row r="66" spans="2:7" ht="15.75">
      <c r="B66" s="77" t="s">
        <v>518</v>
      </c>
      <c r="C66" s="78">
        <v>116727.02599999998</v>
      </c>
      <c r="D66" s="79"/>
      <c r="E66" s="308"/>
      <c r="G66" s="13"/>
    </row>
    <row r="67" spans="2:7" ht="15.75">
      <c r="B67" s="77" t="s">
        <v>519</v>
      </c>
      <c r="C67" s="78">
        <v>199256.109</v>
      </c>
      <c r="D67" s="79"/>
      <c r="E67" s="308"/>
      <c r="G67" s="13"/>
    </row>
    <row r="68" spans="2:7" ht="15.75">
      <c r="B68" s="77" t="s">
        <v>520</v>
      </c>
      <c r="C68" s="78">
        <v>165000</v>
      </c>
      <c r="D68" s="79"/>
      <c r="E68" s="309"/>
      <c r="G68" s="13"/>
    </row>
    <row r="69" spans="2:7" ht="15.75">
      <c r="B69" s="77" t="s">
        <v>521</v>
      </c>
      <c r="C69" s="78">
        <v>96850</v>
      </c>
      <c r="D69" s="79"/>
      <c r="E69" s="309"/>
      <c r="G69" s="13"/>
    </row>
    <row r="70" spans="2:7" ht="15.75">
      <c r="B70" s="77" t="s">
        <v>522</v>
      </c>
      <c r="C70" s="78">
        <v>404370.538</v>
      </c>
      <c r="D70" s="79"/>
      <c r="E70" s="310"/>
      <c r="G70" s="13"/>
    </row>
    <row r="71" spans="2:7" ht="15.75">
      <c r="B71" s="77" t="s">
        <v>523</v>
      </c>
      <c r="C71" s="78"/>
      <c r="D71" s="79">
        <v>712119</v>
      </c>
      <c r="E71" s="290"/>
      <c r="G71" s="13"/>
    </row>
    <row r="72" spans="2:7" ht="15.75">
      <c r="B72" s="77" t="s">
        <v>524</v>
      </c>
      <c r="C72" s="78">
        <v>51350</v>
      </c>
      <c r="D72" s="79"/>
      <c r="E72" s="310"/>
      <c r="G72" s="13"/>
    </row>
    <row r="73" spans="2:7" ht="15.75">
      <c r="B73" s="77" t="s">
        <v>189</v>
      </c>
      <c r="C73" s="308">
        <v>908190</v>
      </c>
      <c r="D73" s="79"/>
      <c r="E73" s="310"/>
      <c r="G73" s="13"/>
    </row>
    <row r="74" spans="2:7" ht="15.75">
      <c r="B74" s="77" t="s">
        <v>525</v>
      </c>
      <c r="C74" s="78">
        <v>55274</v>
      </c>
      <c r="D74" s="79">
        <v>55274</v>
      </c>
      <c r="E74" s="310"/>
      <c r="G74" s="13"/>
    </row>
    <row r="75" spans="2:7" ht="15.75">
      <c r="B75" s="77" t="s">
        <v>526</v>
      </c>
      <c r="C75" s="78">
        <v>16500000</v>
      </c>
      <c r="D75" s="79"/>
      <c r="E75" s="310"/>
      <c r="G75" s="13"/>
    </row>
    <row r="76" spans="2:7" ht="15.75">
      <c r="B76" s="77" t="s">
        <v>527</v>
      </c>
      <c r="C76" s="78">
        <v>44303.544999999998</v>
      </c>
      <c r="D76" s="79">
        <v>40414</v>
      </c>
      <c r="E76" s="310"/>
      <c r="G76" s="13"/>
    </row>
    <row r="77" spans="2:7" ht="15.75">
      <c r="B77" s="77" t="s">
        <v>528</v>
      </c>
      <c r="C77" s="78">
        <v>2122252</v>
      </c>
      <c r="D77" s="79"/>
      <c r="E77" s="310"/>
      <c r="G77" s="13"/>
    </row>
    <row r="78" spans="2:7" ht="15.75">
      <c r="B78" s="77" t="s">
        <v>529</v>
      </c>
      <c r="C78" s="78">
        <v>2112656.65</v>
      </c>
      <c r="D78" s="79"/>
      <c r="E78" s="310"/>
      <c r="G78" s="13"/>
    </row>
    <row r="79" spans="2:7" ht="15.75">
      <c r="B79" s="77" t="s">
        <v>530</v>
      </c>
      <c r="C79" s="78">
        <v>96850</v>
      </c>
      <c r="D79" s="79"/>
      <c r="E79" s="310"/>
      <c r="G79" s="13"/>
    </row>
    <row r="80" spans="2:7" ht="15.75">
      <c r="B80" s="77" t="s">
        <v>531</v>
      </c>
      <c r="C80" s="78">
        <v>3321594.2109999997</v>
      </c>
      <c r="D80" s="79"/>
      <c r="E80" s="310"/>
      <c r="G80" s="13"/>
    </row>
    <row r="81" spans="2:7" ht="15.75">
      <c r="B81" s="77" t="s">
        <v>532</v>
      </c>
      <c r="C81" s="78"/>
      <c r="D81" s="79">
        <v>850054</v>
      </c>
      <c r="E81" s="290"/>
      <c r="G81" s="13"/>
    </row>
    <row r="82" spans="2:7" ht="15.75">
      <c r="B82" s="77" t="s">
        <v>533</v>
      </c>
      <c r="C82" s="78"/>
      <c r="D82" s="79">
        <v>92049</v>
      </c>
      <c r="E82" s="290"/>
      <c r="G82" s="13"/>
    </row>
    <row r="83" spans="2:7" ht="15.75">
      <c r="B83" s="77" t="s">
        <v>534</v>
      </c>
      <c r="C83" s="78">
        <v>407885.53</v>
      </c>
      <c r="D83" s="79"/>
      <c r="E83" s="310"/>
      <c r="G83" s="13"/>
    </row>
    <row r="84" spans="2:7" ht="15.75">
      <c r="B84" s="77" t="s">
        <v>535</v>
      </c>
      <c r="C84" s="78">
        <v>8941</v>
      </c>
      <c r="D84" s="79">
        <v>2212750</v>
      </c>
      <c r="E84" s="310"/>
      <c r="G84" s="13"/>
    </row>
    <row r="85" spans="2:7" ht="15.75">
      <c r="B85" s="77" t="s">
        <v>536</v>
      </c>
      <c r="C85" s="78">
        <v>1012493</v>
      </c>
      <c r="D85" s="79"/>
      <c r="E85" s="310"/>
      <c r="G85" s="13"/>
    </row>
    <row r="86" spans="2:7" ht="15.75">
      <c r="B86" s="77" t="s">
        <v>537</v>
      </c>
      <c r="C86" s="78">
        <v>277430</v>
      </c>
      <c r="D86" s="79"/>
      <c r="E86" s="310"/>
      <c r="G86" s="13"/>
    </row>
    <row r="87" spans="2:7" ht="15.75">
      <c r="B87" s="77" t="s">
        <v>538</v>
      </c>
      <c r="C87" s="78">
        <v>235870.609</v>
      </c>
      <c r="D87" s="79"/>
      <c r="E87" s="310"/>
      <c r="G87" s="13"/>
    </row>
    <row r="88" spans="2:7" ht="15.75">
      <c r="B88" s="77" t="s">
        <v>539</v>
      </c>
      <c r="C88" s="78">
        <v>205759620</v>
      </c>
      <c r="D88" s="79"/>
      <c r="E88" s="310"/>
      <c r="G88" s="13"/>
    </row>
    <row r="89" spans="2:7" ht="15.75">
      <c r="B89" s="77" t="s">
        <v>540</v>
      </c>
      <c r="C89" s="78">
        <v>1112338</v>
      </c>
      <c r="D89" s="79"/>
      <c r="E89" s="310"/>
      <c r="G89" s="13"/>
    </row>
    <row r="90" spans="2:7" ht="15.75">
      <c r="B90" s="77" t="s">
        <v>541</v>
      </c>
      <c r="C90" s="78">
        <v>2413627.84</v>
      </c>
      <c r="D90" s="79"/>
      <c r="E90" s="310"/>
      <c r="G90" s="13"/>
    </row>
    <row r="91" spans="2:7" ht="15.75">
      <c r="B91" s="77" t="s">
        <v>542</v>
      </c>
      <c r="C91" s="78">
        <v>88000000</v>
      </c>
      <c r="D91" s="79">
        <v>132000000</v>
      </c>
      <c r="E91" s="310"/>
      <c r="G91" s="13"/>
    </row>
    <row r="92" spans="2:7" ht="15.75">
      <c r="B92" s="77" t="s">
        <v>543</v>
      </c>
      <c r="C92" s="78">
        <v>422531.33</v>
      </c>
      <c r="D92" s="79"/>
      <c r="E92" s="290"/>
      <c r="G92" s="13"/>
    </row>
    <row r="93" spans="2:7" ht="15.75">
      <c r="B93" s="77" t="s">
        <v>544</v>
      </c>
      <c r="C93" s="78">
        <v>9531</v>
      </c>
      <c r="D93" s="79"/>
      <c r="E93" s="290"/>
      <c r="G93" s="13"/>
    </row>
    <row r="94" spans="2:7" ht="15.75">
      <c r="B94" s="77" t="s">
        <v>545</v>
      </c>
      <c r="C94" s="78">
        <v>1869692.56</v>
      </c>
      <c r="D94" s="79"/>
      <c r="E94" s="290"/>
      <c r="G94" s="13"/>
    </row>
    <row r="95" spans="2:7" ht="15.75">
      <c r="B95" s="77" t="s">
        <v>546</v>
      </c>
      <c r="C95" s="78">
        <v>257546.39300000001</v>
      </c>
      <c r="D95" s="79">
        <v>34987</v>
      </c>
      <c r="E95" s="290"/>
      <c r="G95" s="13"/>
    </row>
    <row r="96" spans="2:7" ht="15.75">
      <c r="B96" s="77" t="s">
        <v>547</v>
      </c>
      <c r="C96" s="78"/>
      <c r="D96" s="79">
        <v>1634973</v>
      </c>
      <c r="E96" s="290"/>
      <c r="G96" s="13"/>
    </row>
    <row r="97" spans="2:14" ht="15.75">
      <c r="B97" s="77" t="s">
        <v>548</v>
      </c>
      <c r="C97" s="78">
        <v>23173097</v>
      </c>
      <c r="D97" s="79"/>
      <c r="E97" s="290"/>
      <c r="G97" s="13"/>
    </row>
    <row r="98" spans="2:14" ht="15.75">
      <c r="B98" s="77" t="s">
        <v>549</v>
      </c>
      <c r="C98" s="78">
        <v>96850</v>
      </c>
      <c r="D98" s="79"/>
      <c r="E98" s="290"/>
      <c r="G98" s="13"/>
    </row>
    <row r="99" spans="2:14" ht="15.75">
      <c r="B99" s="77" t="s">
        <v>550</v>
      </c>
      <c r="C99" s="78">
        <v>81031900</v>
      </c>
      <c r="D99" s="79"/>
      <c r="E99" s="290"/>
      <c r="G99" s="13"/>
    </row>
    <row r="100" spans="2:14" ht="15.75">
      <c r="B100" s="77" t="s">
        <v>551</v>
      </c>
      <c r="C100" s="78">
        <v>18541524.634</v>
      </c>
      <c r="D100" s="79"/>
      <c r="E100" s="290"/>
      <c r="G100" s="13"/>
    </row>
    <row r="101" spans="2:14" ht="15.75">
      <c r="B101" s="77" t="s">
        <v>552</v>
      </c>
      <c r="C101" s="78">
        <v>1030784</v>
      </c>
      <c r="D101" s="79"/>
      <c r="E101" s="290"/>
      <c r="G101" s="13"/>
    </row>
    <row r="102" spans="2:14" ht="15.75">
      <c r="B102" s="77"/>
      <c r="C102" s="78"/>
      <c r="D102" s="79"/>
      <c r="E102" s="39"/>
      <c r="G102" s="13"/>
    </row>
    <row r="103" spans="2:14" ht="15.75">
      <c r="B103" s="80" t="s">
        <v>200</v>
      </c>
      <c r="C103" s="81">
        <f>SUM(C64:C102)</f>
        <v>501223718.97499996</v>
      </c>
      <c r="D103" s="81">
        <f>SUM(D64:D102)</f>
        <v>137632620</v>
      </c>
      <c r="E103" s="27"/>
      <c r="G103" s="14"/>
    </row>
    <row r="104" spans="2:14" ht="15.75">
      <c r="B104" s="275"/>
      <c r="C104" s="276"/>
      <c r="D104" s="276"/>
      <c r="E104" s="27"/>
      <c r="G104" s="14"/>
    </row>
    <row r="105" spans="2:14" ht="15.75">
      <c r="B105" s="275"/>
      <c r="C105" s="276"/>
      <c r="D105" s="276"/>
      <c r="E105" s="27"/>
      <c r="G105" s="14"/>
    </row>
    <row r="106" spans="2:14" ht="15.75">
      <c r="B106" s="275"/>
      <c r="C106" s="276"/>
      <c r="D106" s="276"/>
      <c r="E106" s="27"/>
      <c r="G106" s="14"/>
    </row>
    <row r="108" spans="2:14">
      <c r="B108" s="157" t="s">
        <v>553</v>
      </c>
    </row>
    <row r="109" spans="2:14">
      <c r="B109" s="432" t="s">
        <v>554</v>
      </c>
      <c r="C109" s="432" t="s">
        <v>555</v>
      </c>
      <c r="D109" s="432"/>
      <c r="E109" s="432"/>
      <c r="F109" s="432"/>
      <c r="G109" s="432"/>
      <c r="H109" s="432" t="s">
        <v>556</v>
      </c>
      <c r="I109" s="432"/>
      <c r="J109" s="432"/>
      <c r="K109" s="432"/>
      <c r="L109" s="432"/>
      <c r="M109" s="432"/>
      <c r="N109" s="2"/>
    </row>
    <row r="110" spans="2:14">
      <c r="B110" s="432"/>
      <c r="C110" s="432" t="s">
        <v>557</v>
      </c>
      <c r="D110" s="432" t="s">
        <v>558</v>
      </c>
      <c r="E110" s="432" t="s">
        <v>559</v>
      </c>
      <c r="F110" s="432" t="s">
        <v>560</v>
      </c>
      <c r="G110" s="432" t="s">
        <v>561</v>
      </c>
      <c r="H110" s="432" t="s">
        <v>562</v>
      </c>
      <c r="I110" s="432" t="s">
        <v>558</v>
      </c>
      <c r="J110" s="432" t="s">
        <v>559</v>
      </c>
      <c r="K110" s="432" t="s">
        <v>563</v>
      </c>
      <c r="L110" s="432" t="s">
        <v>564</v>
      </c>
      <c r="M110" s="432" t="s">
        <v>565</v>
      </c>
      <c r="N110" s="2"/>
    </row>
    <row r="111" spans="2:14">
      <c r="B111" s="432"/>
      <c r="C111" s="432"/>
      <c r="D111" s="432"/>
      <c r="E111" s="432"/>
      <c r="F111" s="432"/>
      <c r="G111" s="432"/>
      <c r="H111" s="432"/>
      <c r="I111" s="432"/>
      <c r="J111" s="432"/>
      <c r="K111" s="432"/>
      <c r="L111" s="432"/>
      <c r="M111" s="432"/>
      <c r="N111" s="2"/>
    </row>
    <row r="112" spans="2:14">
      <c r="B112" s="432"/>
      <c r="C112" s="432"/>
      <c r="D112" s="432"/>
      <c r="E112" s="432"/>
      <c r="F112" s="432"/>
      <c r="G112" s="432"/>
      <c r="H112" s="432"/>
      <c r="I112" s="432"/>
      <c r="J112" s="432"/>
      <c r="K112" s="432"/>
      <c r="L112" s="432"/>
      <c r="M112" s="432"/>
      <c r="N112" s="2"/>
    </row>
    <row r="113" spans="2:15">
      <c r="B113" s="55" t="s">
        <v>566</v>
      </c>
      <c r="C113" s="261">
        <v>93398116</v>
      </c>
      <c r="D113" s="261">
        <v>19198817</v>
      </c>
      <c r="E113" s="261">
        <v>0</v>
      </c>
      <c r="F113" s="261">
        <v>0</v>
      </c>
      <c r="G113" s="261">
        <f>+D113+C113</f>
        <v>112596933</v>
      </c>
      <c r="H113" s="261">
        <f>85422362.1407924</f>
        <v>85422362.1407924</v>
      </c>
      <c r="I113" s="261">
        <v>0</v>
      </c>
      <c r="J113" s="261">
        <v>-1622182</v>
      </c>
      <c r="K113" s="261">
        <v>2012729</v>
      </c>
      <c r="L113" s="261">
        <f>SUM(H113:K113)</f>
        <v>85812909.1407924</v>
      </c>
      <c r="M113" s="261">
        <f>+G113-L113</f>
        <v>26784023.8592076</v>
      </c>
      <c r="N113" s="256"/>
      <c r="O113" s="12"/>
    </row>
    <row r="114" spans="2:15">
      <c r="B114" s="55" t="s">
        <v>567</v>
      </c>
      <c r="C114" s="261">
        <v>145075599</v>
      </c>
      <c r="D114" s="261">
        <v>0</v>
      </c>
      <c r="E114" s="261">
        <v>0</v>
      </c>
      <c r="F114" s="261">
        <v>0</v>
      </c>
      <c r="G114" s="261">
        <f>SUM(C114:F114)</f>
        <v>145075599</v>
      </c>
      <c r="H114" s="261">
        <f>126601013.08389</f>
        <v>126601013.08389001</v>
      </c>
      <c r="I114" s="261">
        <v>1622182</v>
      </c>
      <c r="J114" s="261">
        <v>0</v>
      </c>
      <c r="K114" s="261">
        <v>8823686.8121515308</v>
      </c>
      <c r="L114" s="261">
        <f>SUM(H114:K114)</f>
        <v>137046881.89604154</v>
      </c>
      <c r="M114" s="261">
        <f>+G114-L114</f>
        <v>8028717.1039584577</v>
      </c>
      <c r="N114" s="256"/>
      <c r="O114" s="12"/>
    </row>
    <row r="115" spans="2:15">
      <c r="B115" s="55" t="s">
        <v>568</v>
      </c>
      <c r="C115" s="261">
        <v>0</v>
      </c>
      <c r="D115" s="261"/>
      <c r="E115" s="261">
        <f>-C115</f>
        <v>0</v>
      </c>
      <c r="F115" s="261">
        <v>0</v>
      </c>
      <c r="G115" s="261">
        <f>SUM(C115:F115)</f>
        <v>0</v>
      </c>
      <c r="H115" s="261">
        <v>0</v>
      </c>
      <c r="I115" s="261">
        <v>0</v>
      </c>
      <c r="J115" s="261">
        <f>-H115</f>
        <v>0</v>
      </c>
      <c r="K115" s="261">
        <v>0</v>
      </c>
      <c r="L115" s="261">
        <f>SUM(H115:K115)</f>
        <v>0</v>
      </c>
      <c r="M115" s="261">
        <f>+G115-K115</f>
        <v>0</v>
      </c>
      <c r="N115" s="2"/>
    </row>
    <row r="116" spans="2:15">
      <c r="B116" s="82" t="s">
        <v>569</v>
      </c>
      <c r="C116" s="54">
        <v>238473715</v>
      </c>
      <c r="D116" s="54">
        <f t="shared" ref="D116:L116" si="0">SUM(D113:D115)</f>
        <v>19198817</v>
      </c>
      <c r="E116" s="54">
        <f t="shared" si="0"/>
        <v>0</v>
      </c>
      <c r="F116" s="54">
        <f t="shared" si="0"/>
        <v>0</v>
      </c>
      <c r="G116" s="54">
        <f t="shared" si="0"/>
        <v>257672532</v>
      </c>
      <c r="H116" s="54">
        <v>212023375.22468257</v>
      </c>
      <c r="I116" s="54">
        <f t="shared" si="0"/>
        <v>1622182</v>
      </c>
      <c r="J116" s="54">
        <f t="shared" si="0"/>
        <v>-1622182</v>
      </c>
      <c r="K116" s="54">
        <f t="shared" si="0"/>
        <v>10836415.812151531</v>
      </c>
      <c r="L116" s="54">
        <f t="shared" si="0"/>
        <v>222859791.03683394</v>
      </c>
      <c r="M116" s="54">
        <f>+G116-L116</f>
        <v>34812740.963166058</v>
      </c>
      <c r="N116" s="256"/>
    </row>
    <row r="117" spans="2:15">
      <c r="B117" s="82" t="s">
        <v>570</v>
      </c>
      <c r="C117" s="54">
        <v>259026194</v>
      </c>
      <c r="D117" s="54">
        <v>19854128</v>
      </c>
      <c r="E117" s="54">
        <v>-40406607</v>
      </c>
      <c r="F117" s="54">
        <v>0</v>
      </c>
      <c r="G117" s="54">
        <v>238473715</v>
      </c>
      <c r="H117" s="54">
        <v>244525569</v>
      </c>
      <c r="I117" s="54">
        <v>2493505</v>
      </c>
      <c r="J117" s="54">
        <v>-40406607</v>
      </c>
      <c r="K117" s="54">
        <v>5410908.2246825621</v>
      </c>
      <c r="L117" s="54">
        <v>212023375.22468257</v>
      </c>
      <c r="M117" s="54">
        <v>26450339.77531743</v>
      </c>
      <c r="N117" s="2"/>
    </row>
    <row r="120" spans="2:15">
      <c r="B120" s="162" t="s">
        <v>571</v>
      </c>
    </row>
    <row r="121" spans="2:15">
      <c r="B121" s="1"/>
    </row>
    <row r="122" spans="2:15">
      <c r="B122" s="440" t="s">
        <v>512</v>
      </c>
      <c r="C122" s="440" t="s">
        <v>467</v>
      </c>
      <c r="D122" s="440" t="s">
        <v>508</v>
      </c>
    </row>
    <row r="123" spans="2:15" ht="9.6" customHeight="1">
      <c r="B123" s="440"/>
      <c r="C123" s="440"/>
      <c r="D123" s="440"/>
    </row>
    <row r="124" spans="2:15" ht="15.75">
      <c r="B124" s="77" t="s">
        <v>572</v>
      </c>
      <c r="C124" s="78">
        <v>0</v>
      </c>
      <c r="D124" s="79">
        <v>0</v>
      </c>
      <c r="E124" s="39">
        <v>15</v>
      </c>
      <c r="G124" s="13"/>
    </row>
    <row r="125" spans="2:15" ht="15.75">
      <c r="B125" s="77" t="s">
        <v>572</v>
      </c>
      <c r="C125" s="78">
        <v>0</v>
      </c>
      <c r="D125" s="79">
        <v>0</v>
      </c>
      <c r="E125" s="39"/>
      <c r="G125" s="13"/>
    </row>
    <row r="126" spans="2:15" ht="15.75">
      <c r="B126" s="77"/>
      <c r="C126" s="78">
        <f>SUM(C124:C125)</f>
        <v>0</v>
      </c>
      <c r="D126" s="78">
        <f>SUM(D124:D125)</f>
        <v>0</v>
      </c>
      <c r="E126" s="39"/>
      <c r="G126" s="13"/>
    </row>
    <row r="127" spans="2:15" ht="15" customHeight="1">
      <c r="B127" s="7"/>
    </row>
    <row r="128" spans="2:15" ht="15.75" customHeight="1"/>
  </sheetData>
  <sortState xmlns:xlrd2="http://schemas.microsoft.com/office/spreadsheetml/2017/richdata2" ref="B65:D101">
    <sortCondition ref="B64:B101"/>
  </sortState>
  <mergeCells count="40">
    <mergeCell ref="B4:E4"/>
    <mergeCell ref="B6:B7"/>
    <mergeCell ref="C6:C7"/>
    <mergeCell ref="D6:D7"/>
    <mergeCell ref="B26:D26"/>
    <mergeCell ref="B122:B123"/>
    <mergeCell ref="C122:C123"/>
    <mergeCell ref="D122:D123"/>
    <mergeCell ref="B28:F28"/>
    <mergeCell ref="B109:B112"/>
    <mergeCell ref="B54:B55"/>
    <mergeCell ref="G28:I28"/>
    <mergeCell ref="D29:D30"/>
    <mergeCell ref="E29:E30"/>
    <mergeCell ref="B34:D34"/>
    <mergeCell ref="F110:F112"/>
    <mergeCell ref="G110:G112"/>
    <mergeCell ref="C109:G109"/>
    <mergeCell ref="H110:H112"/>
    <mergeCell ref="I110:I112"/>
    <mergeCell ref="C54:C55"/>
    <mergeCell ref="D54:D55"/>
    <mergeCell ref="B35:D35"/>
    <mergeCell ref="B38:F38"/>
    <mergeCell ref="B44:F44"/>
    <mergeCell ref="B46:C46"/>
    <mergeCell ref="M110:M112"/>
    <mergeCell ref="B47:B48"/>
    <mergeCell ref="C47:C48"/>
    <mergeCell ref="D47:D48"/>
    <mergeCell ref="L110:L112"/>
    <mergeCell ref="H109:M109"/>
    <mergeCell ref="C110:C112"/>
    <mergeCell ref="D110:D112"/>
    <mergeCell ref="E110:E112"/>
    <mergeCell ref="J110:J112"/>
    <mergeCell ref="K110:K112"/>
    <mergeCell ref="B62:B63"/>
    <mergeCell ref="C62:C63"/>
    <mergeCell ref="D62:D63"/>
  </mergeCells>
  <pageMargins left="0.70866141732283472" right="0.70866141732283472" top="0.74803149606299213" bottom="0.74803149606299213" header="0.31496062992125984" footer="0.31496062992125984"/>
  <pageSetup scale="4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A04D5FD80433458B2C003629D34133" ma:contentTypeVersion="12" ma:contentTypeDescription="Crear nuevo documento." ma:contentTypeScope="" ma:versionID="77c73f8c113c43035fe40e6842400dee">
  <xsd:schema xmlns:xsd="http://www.w3.org/2001/XMLSchema" xmlns:xs="http://www.w3.org/2001/XMLSchema" xmlns:p="http://schemas.microsoft.com/office/2006/metadata/properties" xmlns:ns2="d5845aff-2e4f-4185-9b6c-b7ccf4ea8de4" xmlns:ns3="2e8945e0-4060-434a-9296-88ec39959342" targetNamespace="http://schemas.microsoft.com/office/2006/metadata/properties" ma:root="true" ma:fieldsID="21c60fdde48316922d37f954eb9d2806" ns2:_="" ns3:_="">
    <xsd:import namespace="d5845aff-2e4f-4185-9b6c-b7ccf4ea8de4"/>
    <xsd:import namespace="2e8945e0-4060-434a-9296-88ec3995934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45aff-2e4f-4185-9b6c-b7ccf4ea8d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f57b533-a176-4645-b33c-7fea236c2a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8945e0-4060-434a-9296-88ec3995934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5fa4682-f683-46b7-8aa9-acd6744f51ed}" ma:internalName="TaxCatchAll" ma:showField="CatchAllData" ma:web="2e8945e0-4060-434a-9296-88ec3995934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07DB96-8D5F-4F90-824B-FB34F021F899}"/>
</file>

<file path=customXml/itemProps2.xml><?xml version="1.0" encoding="utf-8"?>
<ds:datastoreItem xmlns:ds="http://schemas.openxmlformats.org/officeDocument/2006/customXml" ds:itemID="{3C770421-70FA-43CA-B02D-7BBBF93517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Diario</dc:creator>
  <cp:keywords/>
  <dc:description/>
  <cp:lastModifiedBy>soporte</cp:lastModifiedBy>
  <cp:revision/>
  <dcterms:created xsi:type="dcterms:W3CDTF">2020-08-05T19:03:26Z</dcterms:created>
  <dcterms:modified xsi:type="dcterms:W3CDTF">2023-11-13T18:13:11Z</dcterms:modified>
  <cp:category/>
  <cp:contentStatus/>
</cp:coreProperties>
</file>